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24226"/>
  <mc:AlternateContent xmlns:mc="http://schemas.openxmlformats.org/markup-compatibility/2006">
    <mc:Choice Requires="x15">
      <x15ac:absPath xmlns:x15ac="http://schemas.microsoft.com/office/spreadsheetml/2010/11/ac" url="\\Holtbizserver\d\Holt Biz Consulting Desktop Files\FY25\Budgets\"/>
    </mc:Choice>
  </mc:AlternateContent>
  <xr:revisionPtr revIDLastSave="8" documentId="13_ncr:1_{32E86D94-9161-4889-8150-3599112E800A}" xr6:coauthVersionLast="47" xr6:coauthVersionMax="47" xr10:uidLastSave="{37D07A69-8C38-4D06-9F6A-81410DBBDDC0}"/>
  <bookViews>
    <workbookView xWindow="14303" yWindow="-98" windowWidth="19394" windowHeight="10276" xr2:uid="{00000000-000D-0000-FFFF-FFFF00000000}"/>
  </bookViews>
  <sheets>
    <sheet name="Forecast Fall 24" sheetId="1" r:id="rId1"/>
    <sheet name="Budget FY 24" sheetId="3" r:id="rId2"/>
    <sheet name="Assumptions" sheetId="2" r:id="rId3"/>
    <sheet name="Fall 2024 wk bud sub to sponsr" sheetId="8" state="hidden" r:id="rId4"/>
    <sheet name="Sheet2" sheetId="9" state="hidden" r:id="rId5"/>
    <sheet name="Working Fall 2023" sheetId="7" state="hidden" r:id="rId6"/>
  </sheets>
  <externalReferences>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6" i="1" l="1"/>
  <c r="C96" i="1"/>
  <c r="E10" i="3"/>
  <c r="J29" i="2"/>
  <c r="I29" i="2"/>
  <c r="H29" i="2"/>
  <c r="C9" i="3"/>
  <c r="G10" i="3"/>
  <c r="H10" i="3"/>
  <c r="I10" i="3"/>
  <c r="F10" i="3"/>
  <c r="D10" i="3"/>
  <c r="C10" i="3"/>
  <c r="W96" i="8"/>
  <c r="U95" i="8"/>
  <c r="F13" i="3"/>
  <c r="G11" i="3"/>
  <c r="E11" i="3"/>
  <c r="D11" i="3"/>
  <c r="C11" i="3"/>
  <c r="D9" i="3"/>
  <c r="E9" i="3"/>
  <c r="G9" i="3"/>
  <c r="C8" i="3"/>
  <c r="U41" i="8"/>
  <c r="V37" i="8"/>
  <c r="V35" i="8"/>
  <c r="V34" i="8"/>
  <c r="V33" i="8"/>
  <c r="D8" i="3"/>
  <c r="G8" i="3"/>
  <c r="E8" i="3"/>
  <c r="D110" i="1"/>
  <c r="F21" i="1"/>
  <c r="I74" i="1"/>
  <c r="H74" i="1"/>
  <c r="H92" i="1" s="1"/>
  <c r="G74" i="1"/>
  <c r="G92" i="1" s="1"/>
  <c r="F74" i="1"/>
  <c r="F92" i="1" s="1"/>
  <c r="F80" i="1"/>
  <c r="I92" i="1"/>
  <c r="F91" i="1"/>
  <c r="F34" i="1"/>
  <c r="G34" i="1"/>
  <c r="H34" i="1"/>
  <c r="I34" i="1"/>
  <c r="I16" i="1"/>
  <c r="H16" i="1"/>
  <c r="G16" i="1"/>
  <c r="F16" i="1"/>
  <c r="E85" i="1"/>
  <c r="E88" i="1"/>
  <c r="E91" i="1"/>
  <c r="E90" i="1"/>
  <c r="E87" i="1"/>
  <c r="E84" i="1"/>
  <c r="E82" i="1"/>
  <c r="E80" i="1"/>
  <c r="E79" i="1"/>
  <c r="U75" i="8"/>
  <c r="U54" i="8"/>
  <c r="U67" i="8"/>
  <c r="E74" i="1" s="1"/>
  <c r="D16" i="1"/>
  <c r="D26" i="1"/>
  <c r="D22" i="1"/>
  <c r="D85" i="1"/>
  <c r="AD42" i="9"/>
  <c r="D91" i="1"/>
  <c r="D90" i="1"/>
  <c r="D88" i="1"/>
  <c r="D87" i="1"/>
  <c r="D84" i="1"/>
  <c r="D82" i="1"/>
  <c r="D80" i="1"/>
  <c r="D79" i="1"/>
  <c r="D78" i="1"/>
  <c r="D77" i="1"/>
  <c r="D76" i="1"/>
  <c r="D75" i="1"/>
  <c r="D74" i="1"/>
  <c r="AD45" i="9" l="1"/>
  <c r="G114" i="8" l="1"/>
  <c r="U94" i="8"/>
  <c r="L93" i="8"/>
  <c r="K93" i="8"/>
  <c r="I93" i="8"/>
  <c r="G93" i="8"/>
  <c r="U92" i="8"/>
  <c r="U91" i="8"/>
  <c r="U89" i="8"/>
  <c r="T87" i="8"/>
  <c r="T95" i="8" s="1"/>
  <c r="S87" i="8"/>
  <c r="R87" i="8"/>
  <c r="Q87" i="8"/>
  <c r="P87" i="8"/>
  <c r="O87" i="8"/>
  <c r="N87" i="8"/>
  <c r="N95" i="8" s="1"/>
  <c r="M87" i="8"/>
  <c r="L87" i="8"/>
  <c r="K87" i="8"/>
  <c r="I87" i="8"/>
  <c r="G87" i="8"/>
  <c r="U86" i="8"/>
  <c r="U85" i="8"/>
  <c r="U84" i="8"/>
  <c r="U83" i="8"/>
  <c r="U82" i="8"/>
  <c r="T80" i="8"/>
  <c r="S80" i="8"/>
  <c r="S95" i="8" s="1"/>
  <c r="R80" i="8"/>
  <c r="Q80" i="8"/>
  <c r="P80" i="8"/>
  <c r="P95" i="8" s="1"/>
  <c r="O80" i="8"/>
  <c r="O95" i="8" s="1"/>
  <c r="N80" i="8"/>
  <c r="M80" i="8"/>
  <c r="M95" i="8" s="1"/>
  <c r="L80" i="8"/>
  <c r="K80" i="8"/>
  <c r="U80" i="8" s="1"/>
  <c r="I80" i="8"/>
  <c r="G80" i="8"/>
  <c r="K79" i="8"/>
  <c r="U79" i="8" s="1"/>
  <c r="U78" i="8"/>
  <c r="U77" i="8"/>
  <c r="U76" i="8"/>
  <c r="U74" i="8"/>
  <c r="U73" i="8"/>
  <c r="U72" i="8"/>
  <c r="U71" i="8"/>
  <c r="U70" i="8"/>
  <c r="U69" i="8"/>
  <c r="U68" i="8"/>
  <c r="U66" i="8"/>
  <c r="U64" i="8"/>
  <c r="U63" i="8"/>
  <c r="U62" i="8"/>
  <c r="U61" i="8"/>
  <c r="U60" i="8"/>
  <c r="E76" i="1" s="1"/>
  <c r="K59" i="8"/>
  <c r="U59" i="8" s="1"/>
  <c r="U58" i="8"/>
  <c r="U57" i="8"/>
  <c r="U56" i="8"/>
  <c r="U55" i="8"/>
  <c r="U53" i="8"/>
  <c r="U52" i="8"/>
  <c r="U51" i="8"/>
  <c r="L49" i="8"/>
  <c r="I49" i="8"/>
  <c r="G49" i="8"/>
  <c r="U49" i="8" s="1"/>
  <c r="U48" i="8"/>
  <c r="U47" i="8"/>
  <c r="U46" i="8"/>
  <c r="U45" i="8"/>
  <c r="U44" i="8"/>
  <c r="U43" i="8"/>
  <c r="K41" i="8"/>
  <c r="I41" i="8"/>
  <c r="G41" i="8"/>
  <c r="U40" i="8"/>
  <c r="U39" i="8"/>
  <c r="T38" i="8"/>
  <c r="S38" i="8"/>
  <c r="R38" i="8"/>
  <c r="Q38" i="8"/>
  <c r="P38" i="8"/>
  <c r="L38" i="8"/>
  <c r="U37" i="8"/>
  <c r="U36" i="8"/>
  <c r="U35" i="8"/>
  <c r="U34" i="8"/>
  <c r="U33" i="8"/>
  <c r="U32" i="8"/>
  <c r="U31" i="8"/>
  <c r="U26" i="8"/>
  <c r="Q25" i="8"/>
  <c r="I25" i="8"/>
  <c r="G25" i="8"/>
  <c r="T24" i="8"/>
  <c r="T25" i="8" s="1"/>
  <c r="S24" i="8"/>
  <c r="S25" i="8" s="1"/>
  <c r="R24" i="8"/>
  <c r="R25" i="8" s="1"/>
  <c r="Q24" i="8"/>
  <c r="P24" i="8"/>
  <c r="P25" i="8" s="1"/>
  <c r="O24" i="8"/>
  <c r="O25" i="8" s="1"/>
  <c r="N24" i="8"/>
  <c r="M24" i="8"/>
  <c r="M25" i="8" s="1"/>
  <c r="L24" i="8"/>
  <c r="L25" i="8" s="1"/>
  <c r="K24" i="8"/>
  <c r="K25" i="8" s="1"/>
  <c r="S22" i="8"/>
  <c r="R22" i="8"/>
  <c r="Q22" i="8"/>
  <c r="P22" i="8"/>
  <c r="O22" i="8"/>
  <c r="N22" i="8"/>
  <c r="M22" i="8"/>
  <c r="L22" i="8"/>
  <c r="K22" i="8"/>
  <c r="I22" i="8"/>
  <c r="G22" i="8"/>
  <c r="T21" i="8"/>
  <c r="T22" i="8" s="1"/>
  <c r="U20" i="8"/>
  <c r="T18" i="8"/>
  <c r="S18" i="8"/>
  <c r="R18" i="8"/>
  <c r="Q18" i="8"/>
  <c r="P18" i="8"/>
  <c r="O18" i="8"/>
  <c r="N18" i="8"/>
  <c r="M18" i="8"/>
  <c r="L18" i="8"/>
  <c r="K18" i="8"/>
  <c r="I18" i="8"/>
  <c r="G18" i="8"/>
  <c r="U17" i="8"/>
  <c r="V16" i="8"/>
  <c r="U16" i="8"/>
  <c r="U15" i="8"/>
  <c r="T13" i="8"/>
  <c r="S13" i="8"/>
  <c r="R13" i="8"/>
  <c r="Q13" i="8"/>
  <c r="P13" i="8"/>
  <c r="P27" i="8" s="1"/>
  <c r="P28" i="8" s="1"/>
  <c r="O13" i="8"/>
  <c r="O27" i="8" s="1"/>
  <c r="O28" i="8" s="1"/>
  <c r="N13" i="8"/>
  <c r="M13" i="8"/>
  <c r="L13" i="8"/>
  <c r="K13" i="8"/>
  <c r="I13" i="8"/>
  <c r="I27" i="8" s="1"/>
  <c r="I28" i="8" s="1"/>
  <c r="G13" i="8"/>
  <c r="G27" i="8" s="1"/>
  <c r="U12" i="8"/>
  <c r="U10" i="8"/>
  <c r="G95" i="8" l="1"/>
  <c r="I96" i="8"/>
  <c r="I97" i="8" s="1"/>
  <c r="U38" i="8"/>
  <c r="Q95" i="8"/>
  <c r="K27" i="8"/>
  <c r="K28" i="8" s="1"/>
  <c r="Q27" i="8"/>
  <c r="Q28" i="8" s="1"/>
  <c r="Q96" i="8" s="1"/>
  <c r="Q97" i="8" s="1"/>
  <c r="U24" i="8"/>
  <c r="W24" i="8" s="1"/>
  <c r="L95" i="8"/>
  <c r="R95" i="8"/>
  <c r="O96" i="8"/>
  <c r="O97" i="8" s="1"/>
  <c r="L27" i="8"/>
  <c r="L28" i="8" s="1"/>
  <c r="R27" i="8"/>
  <c r="R28" i="8" s="1"/>
  <c r="R96" i="8" s="1"/>
  <c r="R97" i="8" s="1"/>
  <c r="E75" i="1"/>
  <c r="M27" i="8"/>
  <c r="M28" i="8" s="1"/>
  <c r="M96" i="8" s="1"/>
  <c r="M97" i="8" s="1"/>
  <c r="S27" i="8"/>
  <c r="S28" i="8" s="1"/>
  <c r="S96" i="8" s="1"/>
  <c r="S97" i="8" s="1"/>
  <c r="U18" i="8"/>
  <c r="I95" i="8"/>
  <c r="U87" i="8"/>
  <c r="T27" i="8"/>
  <c r="T28" i="8" s="1"/>
  <c r="T96" i="8" s="1"/>
  <c r="T97" i="8" s="1"/>
  <c r="K95" i="8"/>
  <c r="K96" i="8" s="1"/>
  <c r="K97" i="8" s="1"/>
  <c r="P96" i="8"/>
  <c r="P97" i="8" s="1"/>
  <c r="L96" i="8"/>
  <c r="L97" i="8" s="1"/>
  <c r="G28" i="8"/>
  <c r="U22" i="8"/>
  <c r="N25" i="8"/>
  <c r="N27" i="8" s="1"/>
  <c r="U21" i="8"/>
  <c r="U13" i="8"/>
  <c r="N28" i="8" l="1"/>
  <c r="N96" i="8" s="1"/>
  <c r="N97" i="8" s="1"/>
  <c r="U27" i="8"/>
  <c r="U25" i="8"/>
  <c r="G100" i="8"/>
  <c r="I5" i="8" s="1"/>
  <c r="I100" i="8" s="1"/>
  <c r="K5" i="8" s="1"/>
  <c r="K100" i="8" s="1"/>
  <c r="L5" i="8" s="1"/>
  <c r="L100" i="8" s="1"/>
  <c r="M5" i="8" s="1"/>
  <c r="M100" i="8" s="1"/>
  <c r="N5" i="8" s="1"/>
  <c r="N100" i="8" s="1"/>
  <c r="O5" i="8" s="1"/>
  <c r="O100" i="8" s="1"/>
  <c r="P5" i="8" s="1"/>
  <c r="P100" i="8" s="1"/>
  <c r="Q5" i="8" s="1"/>
  <c r="Q100" i="8" s="1"/>
  <c r="R5" i="8" s="1"/>
  <c r="R100" i="8" s="1"/>
  <c r="S5" i="8" s="1"/>
  <c r="S100" i="8" s="1"/>
  <c r="T5" i="8" s="1"/>
  <c r="T100" i="8" s="1"/>
  <c r="U5" i="8" s="1"/>
  <c r="G96" i="8"/>
  <c r="U28" i="8"/>
  <c r="U100" i="8" l="1"/>
  <c r="G97" i="8"/>
  <c r="U97" i="8" s="1"/>
  <c r="U96" i="8"/>
  <c r="D92" i="1" l="1"/>
  <c r="C13" i="1" l="1"/>
  <c r="C16" i="1"/>
  <c r="C44" i="1"/>
  <c r="C85" i="1"/>
  <c r="C26" i="1"/>
  <c r="C21" i="1"/>
  <c r="C35" i="1"/>
  <c r="B22" i="1"/>
  <c r="E35" i="1" l="1"/>
  <c r="E34" i="1"/>
  <c r="E16" i="1" l="1"/>
  <c r="E13" i="1"/>
  <c r="E51" i="1"/>
  <c r="D35" i="1"/>
  <c r="D51" i="1" l="1"/>
  <c r="D44" i="1"/>
  <c r="D28" i="1"/>
  <c r="D17" i="1"/>
  <c r="B26" i="1"/>
  <c r="B28" i="1" s="1"/>
  <c r="B31" i="1" s="1"/>
  <c r="B49" i="1" s="1"/>
  <c r="B44" i="1"/>
  <c r="B41" i="1"/>
  <c r="B21" i="1"/>
  <c r="B16" i="1"/>
  <c r="AE14" i="7"/>
  <c r="AE13" i="7"/>
  <c r="AE10" i="7"/>
  <c r="S10" i="7"/>
  <c r="AE9" i="7"/>
  <c r="M9" i="7"/>
  <c r="D44" i="2"/>
  <c r="D43" i="2"/>
  <c r="D41" i="2"/>
  <c r="D42" i="2"/>
  <c r="D38" i="2"/>
  <c r="D37" i="2"/>
  <c r="D34" i="2"/>
  <c r="D32" i="2"/>
  <c r="D30" i="2"/>
  <c r="D29" i="2"/>
  <c r="D28" i="2"/>
  <c r="D27" i="2"/>
  <c r="D26" i="2"/>
  <c r="D31" i="1" l="1"/>
  <c r="D49" i="1" s="1"/>
  <c r="O38" i="7" l="1"/>
  <c r="AC41" i="7"/>
  <c r="AA41" i="7"/>
  <c r="Y41" i="7"/>
  <c r="W41" i="7"/>
  <c r="U41" i="7"/>
  <c r="S41" i="7"/>
  <c r="Q41" i="7"/>
  <c r="AB41" i="7"/>
  <c r="O41" i="7"/>
  <c r="M41" i="7"/>
  <c r="AA71" i="7"/>
  <c r="Y71" i="7"/>
  <c r="W71" i="7"/>
  <c r="U71" i="7"/>
  <c r="S71" i="7"/>
  <c r="Q71" i="7"/>
  <c r="O71" i="7"/>
  <c r="M71" i="7"/>
  <c r="K71" i="7"/>
  <c r="F68" i="1"/>
  <c r="G68" i="1" s="1"/>
  <c r="H68" i="1" s="1"/>
  <c r="I68" i="1" s="1"/>
  <c r="S50" i="7"/>
  <c r="AC50" i="7"/>
  <c r="AA50" i="7"/>
  <c r="Y50" i="7"/>
  <c r="W50" i="7"/>
  <c r="U50" i="7"/>
  <c r="Q50" i="7"/>
  <c r="O50" i="7"/>
  <c r="AG9" i="7"/>
  <c r="M50" i="7"/>
  <c r="AA48" i="7"/>
  <c r="Y48" i="7"/>
  <c r="U48" i="7"/>
  <c r="Q48" i="7"/>
  <c r="M48" i="7"/>
  <c r="AA72" i="7"/>
  <c r="Y72" i="7"/>
  <c r="W72" i="7"/>
  <c r="U72" i="7"/>
  <c r="S72" i="7"/>
  <c r="Q72" i="7"/>
  <c r="O72" i="7"/>
  <c r="M72" i="7"/>
  <c r="E77" i="1"/>
  <c r="E38" i="1"/>
  <c r="C87" i="1" l="1"/>
  <c r="C75" i="1"/>
  <c r="Q53" i="7" l="1"/>
  <c r="O53" i="7"/>
  <c r="AE70" i="7"/>
  <c r="C92" i="1"/>
  <c r="C17" i="1"/>
  <c r="C31" i="1" s="1"/>
  <c r="C49" i="1" s="1"/>
  <c r="C22" i="1" l="1"/>
  <c r="C28" i="1" s="1"/>
  <c r="AC87" i="7"/>
  <c r="AA87" i="7"/>
  <c r="Y87" i="7"/>
  <c r="W87" i="7"/>
  <c r="U87" i="7"/>
  <c r="S87" i="7"/>
  <c r="Q87" i="7"/>
  <c r="O87" i="7"/>
  <c r="M87" i="7"/>
  <c r="K87" i="7"/>
  <c r="I87" i="7"/>
  <c r="G87" i="7"/>
  <c r="AE86" i="7"/>
  <c r="AE85" i="7"/>
  <c r="AE84" i="7"/>
  <c r="AC82" i="7"/>
  <c r="AA82" i="7"/>
  <c r="Y82" i="7"/>
  <c r="W82" i="7"/>
  <c r="U82" i="7"/>
  <c r="S82" i="7"/>
  <c r="Q82" i="7"/>
  <c r="O82" i="7"/>
  <c r="M82" i="7"/>
  <c r="K82" i="7"/>
  <c r="I82" i="7"/>
  <c r="G82" i="7"/>
  <c r="AE81" i="7"/>
  <c r="AE80" i="7"/>
  <c r="AE79" i="7"/>
  <c r="AE78" i="7"/>
  <c r="AE77" i="7"/>
  <c r="AE76" i="7"/>
  <c r="AE75" i="7"/>
  <c r="AC73" i="7"/>
  <c r="AA73" i="7"/>
  <c r="Q73" i="7"/>
  <c r="I73" i="7"/>
  <c r="G73" i="7"/>
  <c r="K72" i="7"/>
  <c r="Y73" i="7"/>
  <c r="AE71" i="7"/>
  <c r="M73" i="7"/>
  <c r="K73" i="7"/>
  <c r="AE69" i="7"/>
  <c r="AE68" i="7"/>
  <c r="AE67" i="7"/>
  <c r="AE66" i="7"/>
  <c r="AE65" i="7"/>
  <c r="AE64" i="7"/>
  <c r="AE63" i="7"/>
  <c r="AE62" i="7"/>
  <c r="AE61" i="7"/>
  <c r="AE60" i="7"/>
  <c r="AE59" i="7"/>
  <c r="AE58" i="7"/>
  <c r="AE57" i="7"/>
  <c r="AE56" i="7"/>
  <c r="AE55" i="7"/>
  <c r="AE54" i="7"/>
  <c r="AE53" i="7"/>
  <c r="AE52" i="7"/>
  <c r="AE51" i="7"/>
  <c r="AE50" i="7"/>
  <c r="AE49" i="7"/>
  <c r="AE48" i="7"/>
  <c r="AE47" i="7"/>
  <c r="AE46" i="7"/>
  <c r="AC44" i="7"/>
  <c r="AA44" i="7"/>
  <c r="Y44" i="7"/>
  <c r="W44" i="7"/>
  <c r="U44" i="7"/>
  <c r="S44" i="7"/>
  <c r="M44" i="7"/>
  <c r="K44" i="7"/>
  <c r="I44" i="7"/>
  <c r="G44" i="7"/>
  <c r="AE43" i="7"/>
  <c r="AE42" i="7"/>
  <c r="AE41" i="7"/>
  <c r="AE40" i="7"/>
  <c r="O39" i="7"/>
  <c r="AE39" i="7" s="1"/>
  <c r="Q44" i="7"/>
  <c r="AC36" i="7"/>
  <c r="AA36" i="7"/>
  <c r="Y36" i="7"/>
  <c r="W36" i="7"/>
  <c r="U36" i="7"/>
  <c r="S36" i="7"/>
  <c r="M36" i="7"/>
  <c r="K36" i="7"/>
  <c r="I36" i="7"/>
  <c r="G36" i="7"/>
  <c r="AE35" i="7"/>
  <c r="AE34" i="7"/>
  <c r="AE33" i="7"/>
  <c r="AE32" i="7"/>
  <c r="AE31" i="7"/>
  <c r="AE30" i="7"/>
  <c r="AE29" i="7"/>
  <c r="AE28" i="7"/>
  <c r="AE27" i="7"/>
  <c r="AE26" i="7"/>
  <c r="AE25" i="7"/>
  <c r="Q24" i="7"/>
  <c r="Q36" i="7" s="1"/>
  <c r="O24" i="7"/>
  <c r="O36" i="7" s="1"/>
  <c r="AE19" i="7"/>
  <c r="AC18" i="7"/>
  <c r="AA18" i="7"/>
  <c r="Y18" i="7"/>
  <c r="W18" i="7"/>
  <c r="U18" i="7"/>
  <c r="S18" i="7"/>
  <c r="Q18" i="7"/>
  <c r="O18" i="7"/>
  <c r="M18" i="7"/>
  <c r="K18" i="7"/>
  <c r="I18" i="7"/>
  <c r="G18" i="7"/>
  <c r="AE17" i="7"/>
  <c r="AC15" i="7"/>
  <c r="AA15" i="7"/>
  <c r="Y15" i="7"/>
  <c r="W15" i="7"/>
  <c r="U15" i="7"/>
  <c r="S15" i="7"/>
  <c r="Q15" i="7"/>
  <c r="O15" i="7"/>
  <c r="M15" i="7"/>
  <c r="K15" i="7"/>
  <c r="I15" i="7"/>
  <c r="G15" i="7"/>
  <c r="AC11" i="7"/>
  <c r="AA11" i="7"/>
  <c r="Y11" i="7"/>
  <c r="W11" i="7"/>
  <c r="U11" i="7"/>
  <c r="S11" i="7"/>
  <c r="Q11" i="7"/>
  <c r="O11" i="7"/>
  <c r="M11" i="7"/>
  <c r="K11" i="7"/>
  <c r="I11" i="7"/>
  <c r="I20" i="7" s="1"/>
  <c r="I21" i="7" s="1"/>
  <c r="G11" i="7"/>
  <c r="F13" i="1"/>
  <c r="G13" i="1" s="1"/>
  <c r="H13" i="1" s="1"/>
  <c r="I13" i="1" s="1"/>
  <c r="AC7" i="7"/>
  <c r="AA7" i="7"/>
  <c r="Y7" i="7"/>
  <c r="W7" i="7"/>
  <c r="U7" i="7"/>
  <c r="S7" i="7"/>
  <c r="Q7" i="7"/>
  <c r="O7" i="7"/>
  <c r="M7" i="7"/>
  <c r="K7" i="7"/>
  <c r="I7" i="7"/>
  <c r="G7" i="7"/>
  <c r="AE6" i="7"/>
  <c r="AE4" i="7"/>
  <c r="K20" i="7" l="1"/>
  <c r="K21" i="7" s="1"/>
  <c r="D31" i="2"/>
  <c r="M20" i="7"/>
  <c r="M21" i="7" s="1"/>
  <c r="Y20" i="7"/>
  <c r="Y21" i="7" s="1"/>
  <c r="U20" i="7"/>
  <c r="U21" i="7" s="1"/>
  <c r="Q88" i="7"/>
  <c r="AE15" i="7"/>
  <c r="AG13" i="7" s="1"/>
  <c r="AG14" i="7" s="1"/>
  <c r="AE24" i="7"/>
  <c r="S73" i="7"/>
  <c r="S88" i="7" s="1"/>
  <c r="AE87" i="7"/>
  <c r="O44" i="7"/>
  <c r="AE44" i="7" s="1"/>
  <c r="AE82" i="7"/>
  <c r="G20" i="7"/>
  <c r="G21" i="7" s="1"/>
  <c r="AE11" i="7"/>
  <c r="AH9" i="7" s="1"/>
  <c r="AH13" i="7" s="1"/>
  <c r="O73" i="7"/>
  <c r="M88" i="7"/>
  <c r="O20" i="7"/>
  <c r="O21" i="7" s="1"/>
  <c r="AC88" i="7"/>
  <c r="AA88" i="7"/>
  <c r="Q20" i="7"/>
  <c r="Q21" i="7" s="1"/>
  <c r="AE38" i="7"/>
  <c r="S20" i="7"/>
  <c r="S21" i="7" s="1"/>
  <c r="U73" i="7"/>
  <c r="U88" i="7" s="1"/>
  <c r="W20" i="7"/>
  <c r="W21" i="7" s="1"/>
  <c r="AA20" i="7"/>
  <c r="AA21" i="7" s="1"/>
  <c r="G88" i="7"/>
  <c r="AE18" i="7"/>
  <c r="I88" i="7"/>
  <c r="I89" i="7" s="1"/>
  <c r="I90" i="7" s="1"/>
  <c r="AE72" i="7"/>
  <c r="AC20" i="7"/>
  <c r="AC21" i="7" s="1"/>
  <c r="K88" i="7"/>
  <c r="Y88" i="7"/>
  <c r="W73" i="7"/>
  <c r="W88" i="7" s="1"/>
  <c r="AE7" i="7"/>
  <c r="AE36" i="7"/>
  <c r="K89" i="7" l="1"/>
  <c r="K90" i="7" s="1"/>
  <c r="U89" i="7"/>
  <c r="U90" i="7" s="1"/>
  <c r="Q89" i="7"/>
  <c r="Q90" i="7" s="1"/>
  <c r="M89" i="7"/>
  <c r="M90" i="7" s="1"/>
  <c r="Y89" i="7"/>
  <c r="Y90" i="7" s="1"/>
  <c r="W89" i="7"/>
  <c r="W90" i="7" s="1"/>
  <c r="AC89" i="7"/>
  <c r="AC90" i="7" s="1"/>
  <c r="AA89" i="7"/>
  <c r="AA90" i="7" s="1"/>
  <c r="O88" i="7"/>
  <c r="AE88" i="7" s="1"/>
  <c r="AE20" i="7"/>
  <c r="AE21" i="7"/>
  <c r="G89" i="7"/>
  <c r="S89" i="7"/>
  <c r="S90" i="7" s="1"/>
  <c r="AE73" i="7"/>
  <c r="O89" i="7" l="1"/>
  <c r="O90" i="7" s="1"/>
  <c r="G90" i="7"/>
  <c r="AE90" i="7" l="1"/>
  <c r="AE89" i="7"/>
  <c r="C51" i="1" l="1"/>
  <c r="B17" i="1"/>
  <c r="G34" i="2"/>
  <c r="J34" i="2" s="1"/>
  <c r="H30" i="2"/>
  <c r="G30" i="2"/>
  <c r="F114" i="1" l="1"/>
  <c r="I30" i="2"/>
  <c r="L14" i="3" l="1"/>
  <c r="L17" i="3" s="1"/>
  <c r="K14" i="3"/>
  <c r="K17" i="3" s="1"/>
  <c r="J14" i="3"/>
  <c r="J17" i="3" s="1"/>
  <c r="M13" i="3"/>
  <c r="M12" i="3"/>
  <c r="I14" i="3"/>
  <c r="I17" i="3" s="1"/>
  <c r="H14" i="3"/>
  <c r="H17" i="3" s="1"/>
  <c r="N53" i="2"/>
  <c r="I36" i="2"/>
  <c r="G32" i="2"/>
  <c r="G36" i="2" s="1"/>
  <c r="J30" i="2"/>
  <c r="G21" i="1"/>
  <c r="H21" i="1" s="1"/>
  <c r="I21" i="1" s="1"/>
  <c r="F41" i="1"/>
  <c r="G41" i="1" s="1"/>
  <c r="H41" i="1" s="1"/>
  <c r="G14" i="3" l="1"/>
  <c r="G17" i="3" s="1"/>
  <c r="M8" i="3"/>
  <c r="J36" i="2"/>
  <c r="M10" i="3"/>
  <c r="D45" i="2"/>
  <c r="H36" i="2"/>
  <c r="F14" i="3"/>
  <c r="F17" i="3" s="1"/>
  <c r="M11" i="3"/>
  <c r="C14" i="3"/>
  <c r="E14" i="3"/>
  <c r="E17" i="3" s="1"/>
  <c r="D14" i="3"/>
  <c r="D17" i="3" s="1"/>
  <c r="F113" i="1"/>
  <c r="D116" i="1"/>
  <c r="I99" i="1"/>
  <c r="H99" i="1"/>
  <c r="G99" i="1"/>
  <c r="F99" i="1"/>
  <c r="C99" i="1"/>
  <c r="B99" i="1"/>
  <c r="I98" i="1"/>
  <c r="H98" i="1"/>
  <c r="G98" i="1"/>
  <c r="F98" i="1"/>
  <c r="E98" i="1"/>
  <c r="D98" i="1"/>
  <c r="C98" i="1"/>
  <c r="B98" i="1"/>
  <c r="I96" i="1"/>
  <c r="H96" i="1"/>
  <c r="G96" i="1"/>
  <c r="F96" i="1"/>
  <c r="E96" i="1"/>
  <c r="C97" i="1"/>
  <c r="E83" i="1"/>
  <c r="C102" i="1"/>
  <c r="I44" i="1"/>
  <c r="H44" i="1"/>
  <c r="G44" i="1"/>
  <c r="F44" i="1"/>
  <c r="B101" i="1"/>
  <c r="E44" i="1"/>
  <c r="D101" i="1"/>
  <c r="D99" i="1"/>
  <c r="O18" i="1"/>
  <c r="P18" i="1" s="1"/>
  <c r="N19" i="1" s="1"/>
  <c r="P19" i="1" s="1"/>
  <c r="N20" i="1" s="1"/>
  <c r="P20" i="1" s="1"/>
  <c r="P15" i="1"/>
  <c r="P14" i="1"/>
  <c r="P13" i="1"/>
  <c r="P12" i="1"/>
  <c r="P11" i="1"/>
  <c r="E110" i="1" l="1"/>
  <c r="E116" i="1" s="1"/>
  <c r="M14" i="3"/>
  <c r="M17" i="3" s="1"/>
  <c r="C17" i="3"/>
  <c r="M9" i="3"/>
  <c r="D100" i="1"/>
  <c r="D102" i="1"/>
  <c r="E101" i="1"/>
  <c r="E17" i="1"/>
  <c r="B102" i="1"/>
  <c r="F20" i="1"/>
  <c r="G20" i="1" s="1"/>
  <c r="H20" i="1" s="1"/>
  <c r="I20" i="1" s="1"/>
  <c r="B92" i="1"/>
  <c r="I101" i="1"/>
  <c r="H101" i="1"/>
  <c r="G101" i="1"/>
  <c r="B100" i="1"/>
  <c r="C100" i="1"/>
  <c r="F101" i="1"/>
  <c r="E92" i="1"/>
  <c r="E22" i="1" s="1"/>
  <c r="C101" i="1"/>
  <c r="C116" i="1"/>
  <c r="E99" i="1"/>
  <c r="F110" i="1" l="1"/>
  <c r="F116" i="1" s="1"/>
  <c r="E28" i="1"/>
  <c r="B138" i="1" s="1"/>
  <c r="E100" i="1"/>
  <c r="B97" i="1"/>
  <c r="D97" i="1"/>
  <c r="F17" i="1"/>
  <c r="F22" i="1" s="1"/>
  <c r="F28" i="1" s="1"/>
  <c r="B139" i="1" s="1"/>
  <c r="E102" i="1" l="1"/>
  <c r="E31" i="1"/>
  <c r="G17" i="1"/>
  <c r="G22" i="1" s="1"/>
  <c r="F100" i="1"/>
  <c r="F31" i="1"/>
  <c r="E49" i="1" l="1"/>
  <c r="E53" i="1" s="1"/>
  <c r="F51" i="1" s="1"/>
  <c r="F102" i="1" s="1"/>
  <c r="E97" i="1"/>
  <c r="G28" i="1"/>
  <c r="B140" i="1" s="1"/>
  <c r="G100" i="1"/>
  <c r="F49" i="1"/>
  <c r="F97" i="1"/>
  <c r="H17" i="1"/>
  <c r="H22" i="1" s="1"/>
  <c r="F53" i="1" l="1"/>
  <c r="G51" i="1" s="1"/>
  <c r="G102" i="1" s="1"/>
  <c r="I17" i="1"/>
  <c r="G31" i="1"/>
  <c r="G49" i="1" s="1"/>
  <c r="H28" i="1"/>
  <c r="B141" i="1" s="1"/>
  <c r="H100" i="1"/>
  <c r="G53" i="1" l="1"/>
  <c r="H51" i="1" s="1"/>
  <c r="H102" i="1" s="1"/>
  <c r="I22" i="1"/>
  <c r="I28" i="1" s="1"/>
  <c r="B142" i="1" s="1"/>
  <c r="I100" i="1"/>
  <c r="H31" i="1"/>
  <c r="H97" i="1" s="1"/>
  <c r="G97" i="1"/>
  <c r="I31" i="1" l="1"/>
  <c r="I97" i="1" s="1"/>
  <c r="H49" i="1"/>
  <c r="H53" i="1" s="1"/>
  <c r="I51" i="1" s="1"/>
  <c r="I102" i="1" s="1"/>
  <c r="I49" i="1" l="1"/>
  <c r="I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Darlene Holt</author>
  </authors>
  <commentList>
    <comment ref="O24" authorId="0" shapeId="0" xr:uid="{031D867B-E317-4C64-A492-323090C7D8C8}">
      <text>
        <r>
          <rPr>
            <b/>
            <sz val="9"/>
            <color indexed="81"/>
            <rFont val="Tahoma"/>
            <family val="2"/>
          </rPr>
          <t>Darlene Holt:</t>
        </r>
        <r>
          <rPr>
            <sz val="9"/>
            <color indexed="81"/>
            <rFont val="Tahoma"/>
            <family val="2"/>
          </rPr>
          <t xml:space="preserve">
87000 in stipends???
</t>
        </r>
      </text>
    </comment>
  </commentList>
</comments>
</file>

<file path=xl/sharedStrings.xml><?xml version="1.0" encoding="utf-8"?>
<sst xmlns="http://schemas.openxmlformats.org/spreadsheetml/2006/main" count="557" uniqueCount="366">
  <si>
    <t>FY25- 10-31-24 submission</t>
  </si>
  <si>
    <t>IRN No.: 134197</t>
  </si>
  <si>
    <t>County:</t>
  </si>
  <si>
    <t>Cuyahoga</t>
  </si>
  <si>
    <t>Type of School: Brick and Mortar</t>
  </si>
  <si>
    <t>Contract Term: 6/30/30</t>
  </si>
  <si>
    <t>School Name:</t>
  </si>
  <si>
    <t>Green Inspiration Academy</t>
  </si>
  <si>
    <t>Statement of Receipt, Disbursements, and Changes in Fund Cash Balances</t>
  </si>
  <si>
    <t>For the Fiscal Years Ended 2022 through 2024, Actual and</t>
  </si>
  <si>
    <t>the Fiscal Years Ending 2025 through 2029, Forecasted</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</si>
  <si>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</si>
  <si>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</si>
  <si>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</si>
  <si>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</si>
  <si>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</si>
  <si>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</si>
  <si>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</si>
  <si>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</si>
  <si>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</si>
  <si>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</si>
  <si>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</si>
  <si>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</si>
  <si>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</si>
  <si>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</si>
  <si>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</si>
  <si>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</si>
  <si>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</si>
  <si>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</si>
  <si>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</si>
  <si>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</si>
  <si>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</si>
  <si>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</si>
  <si>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</si>
  <si>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</si>
  <si>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</si>
  <si>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</si>
  <si>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</si>
  <si>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</si>
  <si>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</si>
  <si>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</si>
  <si>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</si>
  <si>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</si>
  <si>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</si>
  <si>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</si>
  <si>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</si>
  <si>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</si>
  <si>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</si>
  <si>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</si>
  <si>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</si>
  <si>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</si>
  <si>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</si>
  <si>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</si>
  <si>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</si>
  <si>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</si>
  <si>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</si>
  <si>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</si>
  <si>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Total Student FTE</t>
  </si>
  <si>
    <t>Instructional Staff</t>
  </si>
  <si>
    <t>Administrative Staff</t>
  </si>
  <si>
    <t>Other Staff</t>
  </si>
  <si>
    <t>Purchased Services</t>
  </si>
  <si>
    <t>Rent</t>
  </si>
  <si>
    <t>Utilities</t>
  </si>
  <si>
    <t>Other Facility Costs</t>
  </si>
  <si>
    <t>Insurance</t>
  </si>
  <si>
    <t>Management Fee</t>
  </si>
  <si>
    <t>Sponsor Fee</t>
  </si>
  <si>
    <t>Accounting and Audit Fees</t>
  </si>
  <si>
    <t>Contingency</t>
  </si>
  <si>
    <t>Transportation</t>
  </si>
  <si>
    <t>Legal</t>
  </si>
  <si>
    <t>Marketing</t>
  </si>
  <si>
    <t>Consulting</t>
  </si>
  <si>
    <t>Salaries and Wages</t>
  </si>
  <si>
    <t>Technology Services</t>
  </si>
  <si>
    <t>Special Education Services</t>
  </si>
  <si>
    <t>Support Services</t>
  </si>
  <si>
    <t>Food Services</t>
  </si>
  <si>
    <t xml:space="preserve">Other  </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</si>
  <si>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</si>
  <si>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</si>
  <si>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</si>
  <si>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</si>
  <si>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</si>
  <si>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</si>
  <si>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</si>
  <si>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</si>
  <si>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</si>
  <si>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</si>
  <si>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Fiscal Year 2024-2029 Projected Debt</t>
  </si>
  <si>
    <t>Description</t>
  </si>
  <si>
    <t>Beginning
Year Balance</t>
  </si>
  <si>
    <t>Principle Retirement</t>
  </si>
  <si>
    <t>Interest Expense</t>
  </si>
  <si>
    <t>Ending
Year Balance</t>
  </si>
  <si>
    <t>Debitor/
Creditor</t>
  </si>
  <si>
    <t>FTE Review</t>
  </si>
  <si>
    <t>Loan A</t>
  </si>
  <si>
    <t>Loan B</t>
  </si>
  <si>
    <t>Invictus High School</t>
  </si>
  <si>
    <t>Notes, Bonds</t>
  </si>
  <si>
    <t>Capital Leases</t>
  </si>
  <si>
    <t>Payables (Past Due 180+ days)</t>
  </si>
  <si>
    <t>All bills</t>
  </si>
  <si>
    <t>1) Enrollment Trends</t>
  </si>
  <si>
    <t>Enrollment is assumed at 130 in FY 25 and will gradually increase by 10%</t>
  </si>
  <si>
    <t>2) Staffing levels</t>
  </si>
  <si>
    <t>Staffing is assumed to be 29 in FY 25 with a reduction beginning in Nov 24 to roughly 16 while enrollment increases(goal).  Employees are paid out of both general and federal grant funds. The forecast assumes changes in salary costs for years after FY 25</t>
  </si>
  <si>
    <t>Benefits include Medicare, Workers’ Compensation, retirement and unemployment.  In addition, the school provides health insurance coverage to its staff.  Benefits are projected to be between 23% to 41% of salaries for FY 2025 – FY 2029.  3% cost of living increases projected for future years.</t>
  </si>
  <si>
    <t>3) Service levels</t>
  </si>
  <si>
    <t>Will be servicing Students K-8</t>
  </si>
  <si>
    <t>4) State foundation</t>
  </si>
  <si>
    <t>Based on annual foundation with a slight increase of 3% with expected enrollment increases</t>
  </si>
  <si>
    <t>5) Other receipts</t>
  </si>
  <si>
    <t>Is based on refunds and other class level fees</t>
  </si>
  <si>
    <t>6) Operating Disbursements</t>
  </si>
  <si>
    <t>Assumes reduction of purchased services expenditures over a 4 year period through 2026.  Disbursement are reported on an accrual basis.</t>
  </si>
  <si>
    <t>7) Debt</t>
  </si>
  <si>
    <t>Capital lease obligations and loans with sister school.  The capital lease payments are made monthly and not allocated out on a separate line item.  The capital lease obligations will end in year FY 23.  The loan with sister school is projected to be paid by FY 26 if not sooner.</t>
  </si>
  <si>
    <t>8) Purchased Services</t>
  </si>
  <si>
    <t>General fund purchased services are the largest expenditure item.  The five largest general fund purchased service items are rent, management fees, repairs/maintenance/trash removal, and utilities.    Slight increases for inflation were projected for FY 2023-2026 for utilities</t>
  </si>
  <si>
    <t>9) Other objects</t>
  </si>
  <si>
    <t>Other objects do not include audit fees and insurance as the new format requires them to be included in Purchased services.  All other fees per the USAS manual are included.</t>
  </si>
  <si>
    <t>10) Other assumptions</t>
  </si>
  <si>
    <t>AJ Hart Management is the EMO for the school. Per the contract, EMO receives a fee of 11,250 per month. EMO also is entitleled to expense reimbursements and fees for services outside of the management fee.  Deferrement of fees until school can do better financially</t>
  </si>
  <si>
    <t>All revenues and expendtiures are reported on an accrual basis.  Future years will remain constant for purposes</t>
  </si>
  <si>
    <t>of this forecast due to unexpected growth in enrollment, uncertainty of budget cuts passed down through the state.</t>
  </si>
  <si>
    <t>11)  Federal Revenues</t>
  </si>
  <si>
    <t>FY 24 last year for essers III, therefore reduction in federal revenues thereafter.</t>
  </si>
  <si>
    <t>12)</t>
  </si>
  <si>
    <t xml:space="preserve">Arrangements with vendors will be made to reduce expenditures for FY 25, however, these expenses will be considered deferred until the school </t>
  </si>
  <si>
    <t>Total Expenditures per pupil</t>
  </si>
  <si>
    <t>can do better.</t>
  </si>
  <si>
    <t>FY 25</t>
  </si>
  <si>
    <t>FY 26</t>
  </si>
  <si>
    <t>FY 27</t>
  </si>
  <si>
    <t>FY 28</t>
  </si>
  <si>
    <t>FY 29</t>
  </si>
  <si>
    <t>Community School Budget</t>
  </si>
  <si>
    <t>IRN No.</t>
  </si>
  <si>
    <t>School Name  Green Inspiration Academy</t>
  </si>
  <si>
    <t>Budget for Fiscal Year 2025</t>
  </si>
  <si>
    <t>Function</t>
  </si>
  <si>
    <t>Instruction
1000</t>
  </si>
  <si>
    <t>Support Services
2100-2200</t>
  </si>
  <si>
    <t>Administrative Services
2300 -2400</t>
  </si>
  <si>
    <t>Fiscal/Business Services
2500-2600</t>
  </si>
  <si>
    <t>Operations &amp; Maintenance
2700</t>
  </si>
  <si>
    <t>Pupil Transportation
2800</t>
  </si>
  <si>
    <t>Support/Food Services
2900-3100</t>
  </si>
  <si>
    <t>Extracurricular Activities
4000</t>
  </si>
  <si>
    <t>Facilities/
Construction Services
5000</t>
  </si>
  <si>
    <t>All Other 
Expense
6000-7000</t>
  </si>
  <si>
    <t>Object</t>
  </si>
  <si>
    <t>A</t>
  </si>
  <si>
    <t>B</t>
  </si>
  <si>
    <t>C</t>
  </si>
  <si>
    <t>D</t>
  </si>
  <si>
    <t>E</t>
  </si>
  <si>
    <t>F</t>
  </si>
  <si>
    <t>G</t>
  </si>
  <si>
    <t>H</t>
  </si>
  <si>
    <t>I</t>
  </si>
  <si>
    <t>J</t>
  </si>
  <si>
    <t>K</t>
  </si>
  <si>
    <t>Salaries
100</t>
  </si>
  <si>
    <t>Retirement Fringe Benefits
200</t>
  </si>
  <si>
    <t>Purchased Services
400</t>
  </si>
  <si>
    <t>Supplies
500</t>
  </si>
  <si>
    <t>.</t>
  </si>
  <si>
    <t>Capital Outlay
600</t>
  </si>
  <si>
    <t>Other
800</t>
  </si>
  <si>
    <t>Budget Per Pupil</t>
  </si>
  <si>
    <t>Estimated Student Enrollment</t>
  </si>
  <si>
    <t>Assumption for the Fiscal Year 2025</t>
  </si>
  <si>
    <t>Expected Enrollment</t>
  </si>
  <si>
    <t>Grade</t>
  </si>
  <si>
    <t>Students</t>
  </si>
  <si>
    <t>Expected Instructors</t>
  </si>
  <si>
    <t>Staff</t>
  </si>
  <si>
    <t>Expected Administrative Staff</t>
  </si>
  <si>
    <t>All Other Expected Staff</t>
  </si>
  <si>
    <t>Expected Purchased Services</t>
  </si>
  <si>
    <t>Fiscal Year 2025-2029 Projected Debt</t>
  </si>
  <si>
    <t>Invictus</t>
  </si>
  <si>
    <t>Charter School Capital</t>
  </si>
  <si>
    <t>AJ Hart</t>
  </si>
  <si>
    <t>Accounting/Audit Fees</t>
  </si>
  <si>
    <t>Lawsuit LT</t>
  </si>
  <si>
    <t>Employee Benefits</t>
  </si>
  <si>
    <t>Narrative Summary</t>
  </si>
  <si>
    <t>Name of sponsor:</t>
  </si>
  <si>
    <t>St. Aloyisus</t>
  </si>
  <si>
    <t>Name of management company: AJ Hart Management, LLC</t>
  </si>
  <si>
    <t>Name of treasurer:</t>
  </si>
  <si>
    <t>Darlene Holt</t>
  </si>
  <si>
    <t>Enrollment is assumed at 130 for FY 25 and is anticipated to increase each year by 10%</t>
  </si>
  <si>
    <t xml:space="preserve">Staffing is assumed to be 29 in FY 24 and will reduce staffing to 16 beginning in Nov 24.  Employees are paid out of both general and federal grant funds. </t>
  </si>
  <si>
    <t>Benefits include Medicare, Workers’ Compensation, retirement and unemployment.  In addition, the school provides health insurance coverage to its staff.  Benefits are projected to be between 23% to 41% of salaries for FY 2024 and thereafter</t>
  </si>
  <si>
    <t>Adjustments to account for increase in facilities funding.  Foundation to remain at its annual projections with an estiated 10% increase in enrollment.</t>
  </si>
  <si>
    <t>Standard disbursements that are consistent from previous years.  Additional expenditures such as enrichment activites have been added due to the creative plans to educate students differently.</t>
  </si>
  <si>
    <t>. Capital lease obligations and loans with sister school.</t>
  </si>
  <si>
    <t>General fund purchased services are the largest expenditure item.  The five largest general fund purchased service items are rent, management fees, repairs/maintenance/trash removal, and utilities.    No increases for inflation were projected for FY 2025-2029</t>
  </si>
  <si>
    <t xml:space="preserve">AJ Hart Management is the EMO for the school. Per the contract, EMO receives a fee of 10k per month. EMO also is entitleled to expense reimbursements and fees for services outside of the management fee.  </t>
  </si>
  <si>
    <t>All revenues and expendtiures are reported on an accrual basis.  Salaries and benefits are expected a 3 % increase while purchased services and other expenses will remain consistent.</t>
  </si>
  <si>
    <t>Federal funds reduced to regular ccip and food service funds.  Essers was elimated in FY 24</t>
  </si>
  <si>
    <t>for this budget, yet allocated to the school.  Expectations to expend all dollars.</t>
  </si>
  <si>
    <t xml:space="preserve">Budget/Cashflow </t>
  </si>
  <si>
    <t>Beginning Balance</t>
  </si>
  <si>
    <t>Jul 24</t>
  </si>
  <si>
    <t>Aug 24</t>
  </si>
  <si>
    <t>Sep 24</t>
  </si>
  <si>
    <t>Oct 24</t>
  </si>
  <si>
    <t>Nov 24</t>
  </si>
  <si>
    <t>Dec 24</t>
  </si>
  <si>
    <t>Jan 25</t>
  </si>
  <si>
    <t>Feb 25</t>
  </si>
  <si>
    <t>Mar 25</t>
  </si>
  <si>
    <t>Apr 25</t>
  </si>
  <si>
    <t>May 25</t>
  </si>
  <si>
    <t>Jun 25</t>
  </si>
  <si>
    <t>TOTAL</t>
  </si>
  <si>
    <t>Ordinary Income/Expense</t>
  </si>
  <si>
    <t>Income</t>
  </si>
  <si>
    <t>1400 · Investment Earnings</t>
  </si>
  <si>
    <t>1800 · Misc Local Revenue</t>
  </si>
  <si>
    <t>1890 · Other Misc Receipts</t>
  </si>
  <si>
    <t>Total 1800 · Misc Local Revenue</t>
  </si>
  <si>
    <t>3101 · Unrestricted Grant in Aid</t>
  </si>
  <si>
    <t>3110 · Foundation Basic</t>
  </si>
  <si>
    <t>+1005616.76+78167.03+84548.13-7816.70</t>
  </si>
  <si>
    <t>3190 · Casino Tax</t>
  </si>
  <si>
    <t>3191 · Facilities Funding</t>
  </si>
  <si>
    <t>Total 3101 · Unrestricted Grant in Aid</t>
  </si>
  <si>
    <t>3200 · Restricted Grant In-Aid</t>
  </si>
  <si>
    <t>3211 · Disadvataged Pupil Impact</t>
  </si>
  <si>
    <t>3218 · Student Wellness</t>
  </si>
  <si>
    <t>Total 3200 · Restricted Grant In-Aid</t>
  </si>
  <si>
    <t>4200 · Restricted Grant-In-Aid</t>
  </si>
  <si>
    <t>Lower crrs to 9k</t>
  </si>
  <si>
    <t>4220 · Restricted Grant-In-Aid</t>
  </si>
  <si>
    <t>Total 4200 · Restricted Grant-In-Aid</t>
  </si>
  <si>
    <t>5300 · Refund of Prior Year Expense</t>
  </si>
  <si>
    <t>Total Income</t>
  </si>
  <si>
    <t>Gross Profit</t>
  </si>
  <si>
    <t>Expense</t>
  </si>
  <si>
    <t>100 · Salaries</t>
  </si>
  <si>
    <t>1111110 · Teacher Elementary School</t>
  </si>
  <si>
    <t>1111120 · Teacher Middle School</t>
  </si>
  <si>
    <t>1111190 · Regular Instruction</t>
  </si>
  <si>
    <t>1111290 · 205 Intervention Specialist</t>
  </si>
  <si>
    <t>1112421 · 108 Principal</t>
  </si>
  <si>
    <t>1131930 · Supplemental Instruction</t>
  </si>
  <si>
    <t>1391110 · Professional Dev Salary (cert)</t>
  </si>
  <si>
    <t>1412110 · Support Services Pupils</t>
  </si>
  <si>
    <t>1412422 · 109 Executive Admin</t>
  </si>
  <si>
    <t>1412720 · 902 Custodian</t>
  </si>
  <si>
    <t>Total 100 · Salaries</t>
  </si>
  <si>
    <t>200 · Benefits</t>
  </si>
  <si>
    <t>2121190 · STRS Employers Match</t>
  </si>
  <si>
    <t>2131190 · Medicare Match</t>
  </si>
  <si>
    <t>2222490 · SERS Employer Pickup</t>
  </si>
  <si>
    <t>2411190 · Medical Teacher</t>
  </si>
  <si>
    <t>2601190 · BWC</t>
  </si>
  <si>
    <t>2811190 · Unemployment Certificated</t>
  </si>
  <si>
    <t>Total 200 · Benefits</t>
  </si>
  <si>
    <t>400 · Purchased Services</t>
  </si>
  <si>
    <t>4111190 · Instructional Services</t>
  </si>
  <si>
    <t>4132152 · Speech Services</t>
  </si>
  <si>
    <t>4151110 · Management Services</t>
  </si>
  <si>
    <t>4152310 · Sponsor Fees</t>
  </si>
  <si>
    <t>4152429 · Admistrative Technology Service</t>
  </si>
  <si>
    <t>4182310 · Board Stipends</t>
  </si>
  <si>
    <t>4182510 · Accounting &amp; Auditing</t>
  </si>
  <si>
    <t>4191120 · Other Prof. Tech. Serv- EMIS</t>
  </si>
  <si>
    <t>4192190 · Support Services Pupils</t>
  </si>
  <si>
    <t>4192400 · Other Prof Services</t>
  </si>
  <si>
    <t>4192411 · Background Check</t>
  </si>
  <si>
    <t>4192720 · Janitorial Services</t>
  </si>
  <si>
    <t>4222790 · Garbage Removal</t>
  </si>
  <si>
    <t>4232424 · Repairs and Maintenance Service</t>
  </si>
  <si>
    <t>4232425 · HVAC USAGE</t>
  </si>
  <si>
    <t>4232720 · Repairs</t>
  </si>
  <si>
    <t>4252720 · Rentals</t>
  </si>
  <si>
    <t>4292760 · Security Services</t>
  </si>
  <si>
    <t>4292790 · Other Property Service</t>
  </si>
  <si>
    <t>4412790 · Telephone</t>
  </si>
  <si>
    <t>4442790 · Postage Machine Rental</t>
  </si>
  <si>
    <t>4462490 · Advertising</t>
  </si>
  <si>
    <t>4492790 · Other Comm. (Internet)</t>
  </si>
  <si>
    <t>4512790 · Electricity</t>
  </si>
  <si>
    <t>4532790 · Gas</t>
  </si>
  <si>
    <t>Outstanding bills at 6.30.24</t>
  </si>
  <si>
    <t>4623120 · Contracted Food Serv</t>
  </si>
  <si>
    <t>4832850 · Pupil Trans Other</t>
  </si>
  <si>
    <t>Total 400 · Purchased Services</t>
  </si>
  <si>
    <t>500 · Supplies and Materials</t>
  </si>
  <si>
    <t>5111130 · Instructional Supplies</t>
  </si>
  <si>
    <t>5122490 · Office Supplies</t>
  </si>
  <si>
    <t>5142134 · Nursing Supplies</t>
  </si>
  <si>
    <t>5722720 · Buildings Maintenance</t>
  </si>
  <si>
    <t>5732790 · Equipment/Furniture</t>
  </si>
  <si>
    <t>Total 500 · Supplies and Materials</t>
  </si>
  <si>
    <t>800 · Other Objects</t>
  </si>
  <si>
    <t>8482590 · Bank Charges</t>
  </si>
  <si>
    <t>?</t>
  </si>
  <si>
    <t>8492590 · Other Dues and Fees</t>
  </si>
  <si>
    <t>8494000 · Student Act/Entr. Fees</t>
  </si>
  <si>
    <t>8532590 · Bond Premiums</t>
  </si>
  <si>
    <t>Total 800 · Other Objects</t>
  </si>
  <si>
    <t>80000 · Depreciation Expense</t>
  </si>
  <si>
    <t>Total Expense</t>
  </si>
  <si>
    <t>Net Ordinary Income</t>
  </si>
  <si>
    <t>Net Income</t>
  </si>
  <si>
    <t>Ending Balance</t>
  </si>
  <si>
    <t>Notes:</t>
  </si>
  <si>
    <t>this worksheet is as if foundation remained the same for the remainder of the year. Expectation for it to be lower for FY 25</t>
  </si>
  <si>
    <t>Worksheet includes outstanding payables at 6.30.24.  All reported in July</t>
  </si>
  <si>
    <t>Worksheet does not include CSC funds</t>
  </si>
  <si>
    <t xml:space="preserve">Deferred Debt: </t>
  </si>
  <si>
    <t xml:space="preserve">Management </t>
  </si>
  <si>
    <t>Rent +HVAC (lines 65 and 67)</t>
  </si>
  <si>
    <t xml:space="preserve">Fiscal </t>
  </si>
  <si>
    <t xml:space="preserve">Total </t>
  </si>
  <si>
    <t>Contract Revisions/Cost Caps:</t>
  </si>
  <si>
    <t>Transportation: (Line 78)</t>
  </si>
  <si>
    <t xml:space="preserve">MicrochipIT (Line 59) </t>
  </si>
  <si>
    <t xml:space="preserve">Notes </t>
  </si>
  <si>
    <t>Lay Offs: Health Benefits will Terminate in Dec 2024</t>
  </si>
  <si>
    <t xml:space="preserve">No Board Meeting January and June (Line 56) </t>
  </si>
  <si>
    <t>4122949 · Professional Development</t>
  </si>
  <si>
    <t>4152949 · Professional Development Servic</t>
  </si>
  <si>
    <t>4122949 · Professional Development - Other</t>
  </si>
  <si>
    <t>Total 4122949 · Professional Development</t>
  </si>
  <si>
    <t>4132141 · Health Services</t>
  </si>
  <si>
    <t>4191120 · Other Prof. Tech. Serv</t>
  </si>
  <si>
    <t>4293290 · Family and Community</t>
  </si>
  <si>
    <t>4392310 · Board Meeting Expense</t>
  </si>
  <si>
    <t>4392411 · Meeting Expense</t>
  </si>
  <si>
    <t>4432790 · Postage</t>
  </si>
  <si>
    <t>4452790 · Messenger Service</t>
  </si>
  <si>
    <t>4922590 · Loss Insurance</t>
  </si>
  <si>
    <t>Jul 23</t>
  </si>
  <si>
    <t>Aug 23</t>
  </si>
  <si>
    <t>Sep 23</t>
  </si>
  <si>
    <t>Oct 23</t>
  </si>
  <si>
    <t>Nov 23</t>
  </si>
  <si>
    <t>Dec 23</t>
  </si>
  <si>
    <t>Jan 24</t>
  </si>
  <si>
    <t>Feb 24</t>
  </si>
  <si>
    <t>Mar 24</t>
  </si>
  <si>
    <t>Apr 24</t>
  </si>
  <si>
    <t>May 24</t>
  </si>
  <si>
    <t>Jun 24</t>
  </si>
  <si>
    <t>4308 casino</t>
  </si>
  <si>
    <t>Title IV Tutoting and Esser stipends</t>
  </si>
  <si>
    <t>1112110 · Curriculum Support Services</t>
  </si>
  <si>
    <t>1412411 · 502 Secretary</t>
  </si>
  <si>
    <t>Wall to Wall and other Microchip services</t>
  </si>
  <si>
    <t>Microchip and Winston Consulting</t>
  </si>
  <si>
    <t>Isaiah Boyd</t>
  </si>
  <si>
    <t>4532590 · Loss Insurance</t>
  </si>
  <si>
    <t>4922990 · Contracted Food Serv</t>
  </si>
  <si>
    <t>5422222 · Periodicals</t>
  </si>
  <si>
    <t>5903290 · Family Community 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</si>
</sst>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00"/>
    <numFmt numFmtId="166" formatCode="&quot;$&quot;#,##0.00"/>
    <numFmt numFmtId="167" formatCode="#,##0.000000000000_);\(#,##0.000000000000\)"/>
  </numFmts>
  <fonts count="3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b/>
      <u/>
      <sz val="11"/>
      <name val="Arial"/>
      <family val="2"/>
    </font>
    <font>
      <sz val="9"/>
      <name val="Times New Roman"/>
      <family val="1"/>
    </font>
    <font>
      <b/>
      <sz val="9"/>
      <color rgb="FF0070C0"/>
      <name val="Arial"/>
      <family val="2"/>
    </font>
    <font>
      <b/>
      <sz val="9"/>
      <color theme="1"/>
      <name val="Arial"/>
      <family val="2"/>
    </font>
    <font>
      <b/>
      <sz val="11"/>
      <name val="Calibri"/>
      <family val="2"/>
      <scheme val="minor"/>
    </font>
    <font>
      <sz val="9"/>
      <color theme="1"/>
      <name val="Arial"/>
      <family val="2"/>
    </font>
    <font>
      <sz val="12"/>
      <color theme="1"/>
      <name val="Arial"/>
      <family val="2"/>
    </font>
    <font>
      <b/>
      <sz val="14"/>
      <color theme="1"/>
      <name val="Arial"/>
      <family val="2"/>
    </font>
    <font>
      <b/>
      <sz val="12"/>
      <color theme="1"/>
      <name val="Arial"/>
      <family val="2"/>
    </font>
    <font>
      <sz val="12"/>
      <name val="Arial"/>
      <family val="2"/>
    </font>
    <font>
      <sz val="11"/>
      <color theme="1"/>
      <name val="Arial"/>
      <family val="2"/>
    </font>
    <font>
      <b/>
      <sz val="12"/>
      <color rgb="FF000000"/>
      <name val="Arial"/>
      <family val="2"/>
    </font>
    <font>
      <sz val="12"/>
      <color theme="1"/>
      <name val="Calibri"/>
      <family val="2"/>
      <scheme val="minor"/>
    </font>
    <font>
      <sz val="12"/>
      <color rgb="FF000000"/>
      <name val="Arial"/>
      <family val="2"/>
    </font>
    <font>
      <b/>
      <sz val="9"/>
      <color indexed="81"/>
      <name val="Tahoma"/>
      <family val="2"/>
    </font>
    <font>
      <sz val="9"/>
      <color indexed="81"/>
      <name val="Tahoma"/>
      <family val="2"/>
    </font>
    <font>
      <sz val="11"/>
      <color rgb="FFFF0000"/>
      <name val="Calibri"/>
      <family val="2"/>
      <scheme val="minor"/>
    </font>
    <font>
      <b/>
      <sz val="8"/>
      <color rgb="FF000000"/>
      <name val="Arial"/>
      <family val="2"/>
    </font>
    <font>
      <b/>
      <sz val="8"/>
      <color theme="1"/>
      <name val="Arial"/>
      <family val="2"/>
    </font>
    <font>
      <sz val="8"/>
      <color rgb="FF000000"/>
      <name val="Arial"/>
      <family val="2"/>
    </font>
    <font>
      <b/>
      <sz val="8"/>
      <color rgb="FFFF0000"/>
      <name val="Arial"/>
      <family val="2"/>
    </font>
    <font>
      <sz val="8"/>
      <color rgb="FFFF0000"/>
      <name val="Arial"/>
      <family val="2"/>
    </font>
    <font>
      <b/>
      <sz val="8"/>
      <name val="Arial"/>
      <family val="2"/>
    </font>
    <font>
      <sz val="8"/>
      <name val="Arial"/>
      <family val="2"/>
    </font>
    <font>
      <sz val="11"/>
      <name val="Calibri"/>
      <family val="2"/>
      <scheme val="minor"/>
    </font>
    <font>
      <sz val="8"/>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5" tint="0.59999389629810485"/>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bottom style="thick">
        <color indexed="64"/>
      </bottom>
      <diagonal/>
    </border>
    <border>
      <left/>
      <right/>
      <top/>
      <bottom style="medium">
        <color indexed="64"/>
      </bottom>
      <diagonal/>
    </border>
    <border>
      <left/>
      <right/>
      <top style="medium">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3" fontId="3" fillId="0" borderId="0" applyFont="0" applyFill="0" applyBorder="0" applyAlignment="0" applyProtection="0"/>
    <xf numFmtId="0" fontId="3" fillId="0" borderId="0"/>
  </cellStyleXfs>
  <cellXfs count="348">
    <xf numFmtId="0" fontId="0" fillId="0" borderId="0" xfId="0"/>
    <xf numFmtId="0" fontId="4" fillId="0" borderId="1" xfId="3" applyFont="1" applyBorder="1" applyAlignment="1" applyProtection="1">
      <alignment vertical="center"/>
      <protection locked="0"/>
    </xf>
    <xf numFmtId="0" fontId="5" fillId="0" borderId="2" xfId="0" applyFont="1" applyBorder="1"/>
    <xf numFmtId="0" fontId="5" fillId="0" borderId="3" xfId="0" applyFont="1" applyBorder="1"/>
    <xf numFmtId="0" fontId="5" fillId="0" borderId="0" xfId="0" applyFont="1"/>
    <xf numFmtId="0" fontId="6" fillId="0" borderId="4" xfId="0" applyFont="1" applyBorder="1" applyAlignment="1" applyProtection="1">
      <alignment vertical="center"/>
      <protection locked="0"/>
    </xf>
    <xf numFmtId="0" fontId="6" fillId="0" borderId="0" xfId="0" applyFont="1"/>
    <xf numFmtId="0" fontId="6" fillId="0" borderId="0" xfId="0" applyFont="1" applyAlignment="1">
      <alignment horizontal="right"/>
    </xf>
    <xf numFmtId="0" fontId="5" fillId="0" borderId="5" xfId="0" applyFont="1" applyBorder="1" applyProtection="1">
      <protection locked="0"/>
    </xf>
    <xf numFmtId="0" fontId="6" fillId="0" borderId="4" xfId="0" applyFont="1" applyBorder="1" applyAlignment="1">
      <alignment vertical="center"/>
    </xf>
    <xf numFmtId="0" fontId="7" fillId="0" borderId="0" xfId="0" applyFont="1" applyAlignment="1">
      <alignment horizontal="right"/>
    </xf>
    <xf numFmtId="0" fontId="7" fillId="0" borderId="0" xfId="0" applyFont="1"/>
    <xf numFmtId="0" fontId="7" fillId="0" borderId="5" xfId="0" applyFont="1" applyBorder="1"/>
    <xf numFmtId="0" fontId="8" fillId="0" borderId="0" xfId="0" applyFont="1"/>
    <xf numFmtId="0" fontId="9" fillId="0" borderId="4" xfId="0" applyFont="1" applyBorder="1"/>
    <xf numFmtId="0" fontId="9" fillId="0" borderId="0" xfId="0" applyFont="1"/>
    <xf numFmtId="0" fontId="7" fillId="0" borderId="0" xfId="0" applyFont="1" applyAlignment="1">
      <alignment horizontal="center"/>
    </xf>
    <xf numFmtId="0" fontId="6" fillId="0" borderId="5" xfId="0" applyFont="1" applyBorder="1" applyAlignment="1">
      <alignment horizontal="center"/>
    </xf>
    <xf numFmtId="0" fontId="5" fillId="0" borderId="4" xfId="0" applyFont="1" applyBorder="1"/>
    <xf numFmtId="0" fontId="6" fillId="3" borderId="6" xfId="0" applyFont="1" applyFill="1" applyBorder="1" applyAlignment="1">
      <alignment horizontal="centerContinuous"/>
    </xf>
    <xf numFmtId="0" fontId="5" fillId="3" borderId="7" xfId="0" applyFont="1" applyFill="1" applyBorder="1" applyAlignment="1">
      <alignment horizontal="centerContinuous"/>
    </xf>
    <xf numFmtId="0" fontId="5" fillId="3" borderId="8" xfId="0" applyFont="1" applyFill="1" applyBorder="1" applyAlignment="1">
      <alignment horizontal="centerContinuous"/>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2" borderId="4" xfId="0"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5" fillId="2" borderId="5" xfId="0" applyFont="1" applyFill="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protection locked="0"/>
    </xf>
    <xf numFmtId="0" fontId="10" fillId="0" borderId="4" xfId="0" applyFont="1" applyBorder="1"/>
    <xf numFmtId="44" fontId="5" fillId="2" borderId="9" xfId="0" applyNumberFormat="1" applyFont="1" applyFill="1" applyBorder="1" applyAlignment="1">
      <alignment horizontal="right"/>
    </xf>
    <xf numFmtId="44" fontId="5" fillId="2" borderId="10" xfId="0" applyNumberFormat="1" applyFont="1" applyFill="1" applyBorder="1" applyAlignment="1">
      <alignment horizontal="right"/>
    </xf>
    <xf numFmtId="44" fontId="5" fillId="2" borderId="11" xfId="0" applyNumberFormat="1" applyFont="1" applyFill="1" applyBorder="1" applyAlignment="1">
      <alignment horizontal="right"/>
    </xf>
    <xf numFmtId="44" fontId="5" fillId="0" borderId="9" xfId="0" applyNumberFormat="1" applyFont="1" applyBorder="1" applyAlignment="1">
      <alignment horizontal="right"/>
    </xf>
    <xf numFmtId="44" fontId="5" fillId="0" borderId="10" xfId="0" applyNumberFormat="1" applyFont="1" applyBorder="1" applyAlignment="1">
      <alignment horizontal="right"/>
    </xf>
    <xf numFmtId="44" fontId="5" fillId="0" borderId="11" xfId="0" applyNumberFormat="1" applyFont="1" applyBorder="1" applyAlignment="1">
      <alignment horizontal="right"/>
    </xf>
    <xf numFmtId="42" fontId="5" fillId="2" borderId="11" xfId="0" applyNumberFormat="1" applyFont="1" applyFill="1" applyBorder="1" applyAlignment="1" applyProtection="1">
      <alignment horizontal="right"/>
      <protection locked="0"/>
    </xf>
    <xf numFmtId="42" fontId="5" fillId="0" borderId="9" xfId="0" applyNumberFormat="1" applyFont="1" applyBorder="1" applyAlignment="1" applyProtection="1">
      <alignment horizontal="right"/>
      <protection locked="0"/>
    </xf>
    <xf numFmtId="41" fontId="5" fillId="2" borderId="11" xfId="0" applyNumberFormat="1" applyFont="1" applyFill="1" applyBorder="1" applyAlignment="1" applyProtection="1">
      <alignment horizontal="right"/>
      <protection locked="0"/>
    </xf>
    <xf numFmtId="41" fontId="5" fillId="0" borderId="9" xfId="0" applyNumberFormat="1" applyFont="1" applyBorder="1" applyAlignment="1" applyProtection="1">
      <alignment horizontal="right"/>
      <protection locked="0"/>
    </xf>
    <xf numFmtId="41" fontId="5" fillId="0" borderId="10" xfId="0" applyNumberFormat="1" applyFont="1" applyBorder="1" applyAlignment="1" applyProtection="1">
      <alignment horizontal="right"/>
      <protection locked="0"/>
    </xf>
    <xf numFmtId="41" fontId="5" fillId="0" borderId="11" xfId="0" applyNumberFormat="1" applyFont="1" applyBorder="1" applyAlignment="1" applyProtection="1">
      <alignment horizontal="right"/>
      <protection locked="0"/>
    </xf>
    <xf numFmtId="37" fontId="5" fillId="0" borderId="0" xfId="0" applyNumberFormat="1" applyFont="1"/>
    <xf numFmtId="0" fontId="6" fillId="0" borderId="4" xfId="0" applyFont="1" applyBorder="1"/>
    <xf numFmtId="42" fontId="5" fillId="2" borderId="11" xfId="0" applyNumberFormat="1" applyFont="1" applyFill="1" applyBorder="1" applyAlignment="1">
      <alignment horizontal="right"/>
    </xf>
    <xf numFmtId="42" fontId="5" fillId="0" borderId="9" xfId="0" applyNumberFormat="1" applyFont="1" applyBorder="1" applyAlignment="1">
      <alignment horizontal="right"/>
    </xf>
    <xf numFmtId="42" fontId="5" fillId="0" borderId="10" xfId="0" applyNumberFormat="1" applyFont="1" applyBorder="1" applyAlignment="1">
      <alignment horizontal="right"/>
    </xf>
    <xf numFmtId="42" fontId="5" fillId="0" borderId="11" xfId="0" applyNumberFormat="1" applyFont="1" applyBorder="1" applyAlignment="1">
      <alignment horizontal="right"/>
    </xf>
    <xf numFmtId="42" fontId="5" fillId="0" borderId="0" xfId="0" applyNumberFormat="1" applyFont="1"/>
    <xf numFmtId="42" fontId="5" fillId="2" borderId="11" xfId="2" applyNumberFormat="1" applyFont="1" applyFill="1" applyBorder="1" applyAlignment="1">
      <alignment horizontal="right"/>
    </xf>
    <xf numFmtId="42" fontId="5" fillId="0" borderId="9" xfId="2" applyNumberFormat="1" applyFont="1" applyBorder="1" applyAlignment="1">
      <alignment horizontal="right"/>
    </xf>
    <xf numFmtId="42" fontId="5" fillId="0" borderId="10" xfId="2" applyNumberFormat="1" applyFont="1" applyBorder="1" applyAlignment="1">
      <alignment horizontal="right"/>
    </xf>
    <xf numFmtId="42" fontId="5" fillId="0" borderId="11" xfId="2" applyNumberFormat="1" applyFont="1" applyBorder="1" applyAlignment="1">
      <alignment horizontal="right"/>
    </xf>
    <xf numFmtId="42" fontId="5" fillId="0" borderId="9" xfId="0" applyNumberFormat="1" applyFont="1" applyBorder="1" applyProtection="1">
      <protection locked="0"/>
    </xf>
    <xf numFmtId="41" fontId="5" fillId="0" borderId="9" xfId="0" applyNumberFormat="1" applyFont="1" applyBorder="1" applyProtection="1">
      <protection locked="0"/>
    </xf>
    <xf numFmtId="37" fontId="5" fillId="0" borderId="0" xfId="2" applyNumberFormat="1" applyFont="1" applyAlignment="1">
      <alignment horizontal="center"/>
    </xf>
    <xf numFmtId="42" fontId="5" fillId="2" borderId="11" xfId="0" applyNumberFormat="1" applyFont="1" applyFill="1" applyBorder="1"/>
    <xf numFmtId="42" fontId="5" fillId="0" borderId="9" xfId="0" applyNumberFormat="1" applyFont="1" applyBorder="1"/>
    <xf numFmtId="42" fontId="5" fillId="0" borderId="10" xfId="0" applyNumberFormat="1" applyFont="1" applyBorder="1"/>
    <xf numFmtId="42" fontId="5" fillId="0" borderId="11" xfId="0" applyNumberFormat="1" applyFont="1" applyBorder="1"/>
    <xf numFmtId="42" fontId="5" fillId="2" borderId="10" xfId="0" applyNumberFormat="1" applyFont="1" applyFill="1" applyBorder="1"/>
    <xf numFmtId="42" fontId="5" fillId="2" borderId="12" xfId="0" applyNumberFormat="1" applyFont="1" applyFill="1" applyBorder="1"/>
    <xf numFmtId="42" fontId="5" fillId="0" borderId="13" xfId="0" applyNumberFormat="1" applyFont="1" applyBorder="1"/>
    <xf numFmtId="42" fontId="5" fillId="0" borderId="14" xfId="0" applyNumberFormat="1" applyFont="1" applyBorder="1"/>
    <xf numFmtId="42" fontId="5" fillId="0" borderId="12" xfId="0" applyNumberFormat="1" applyFont="1" applyBorder="1"/>
    <xf numFmtId="42" fontId="5" fillId="2" borderId="0" xfId="0" applyNumberFormat="1" applyFont="1" applyFill="1"/>
    <xf numFmtId="42" fontId="5" fillId="2" borderId="0" xfId="4" applyNumberFormat="1" applyFont="1" applyFill="1" applyAlignment="1">
      <alignment horizontal="center"/>
    </xf>
    <xf numFmtId="42" fontId="5" fillId="0" borderId="0" xfId="4" applyNumberFormat="1" applyFont="1" applyAlignment="1">
      <alignment horizontal="center"/>
    </xf>
    <xf numFmtId="37" fontId="5" fillId="0" borderId="0" xfId="4" applyNumberFormat="1" applyFont="1" applyAlignment="1">
      <alignment horizontal="center"/>
    </xf>
    <xf numFmtId="5" fontId="5" fillId="0" borderId="0" xfId="0" applyNumberFormat="1" applyFont="1"/>
    <xf numFmtId="0" fontId="11" fillId="0" borderId="4" xfId="0" applyFont="1" applyBorder="1"/>
    <xf numFmtId="0" fontId="12" fillId="0" borderId="0" xfId="0" applyFont="1"/>
    <xf numFmtId="1" fontId="5" fillId="2" borderId="11" xfId="0" applyNumberFormat="1" applyFont="1" applyFill="1" applyBorder="1" applyAlignment="1" applyProtection="1">
      <alignment horizontal="right" indent="1"/>
      <protection locked="0"/>
    </xf>
    <xf numFmtId="1" fontId="5" fillId="2" borderId="12" xfId="0" applyNumberFormat="1" applyFont="1" applyFill="1" applyBorder="1" applyAlignment="1" applyProtection="1">
      <alignment horizontal="right" indent="1"/>
      <protection locked="0"/>
    </xf>
    <xf numFmtId="2" fontId="5" fillId="2" borderId="0" xfId="0" applyNumberFormat="1" applyFont="1" applyFill="1" applyAlignment="1">
      <alignment horizontal="right" indent="1"/>
    </xf>
    <xf numFmtId="2" fontId="5" fillId="0" borderId="0" xfId="0" applyNumberFormat="1" applyFont="1" applyAlignment="1">
      <alignment horizontal="right" indent="1"/>
    </xf>
    <xf numFmtId="0" fontId="5" fillId="0" borderId="0" xfId="0" applyFont="1" applyAlignment="1">
      <alignment horizontal="right" indent="1"/>
    </xf>
    <xf numFmtId="0" fontId="5" fillId="0" borderId="5" xfId="0" applyFont="1" applyBorder="1" applyAlignment="1">
      <alignment horizontal="right" indent="1"/>
    </xf>
    <xf numFmtId="164" fontId="5" fillId="2" borderId="15" xfId="0" applyNumberFormat="1" applyFont="1" applyFill="1" applyBorder="1" applyAlignment="1" applyProtection="1">
      <alignment horizontal="right" indent="1"/>
      <protection locked="0"/>
    </xf>
    <xf numFmtId="164" fontId="5" fillId="0" borderId="16" xfId="0" applyNumberFormat="1" applyFont="1" applyBorder="1" applyAlignment="1" applyProtection="1">
      <alignment horizontal="right" indent="1"/>
      <protection locked="0"/>
    </xf>
    <xf numFmtId="164" fontId="5" fillId="2" borderId="11" xfId="0" applyNumberFormat="1" applyFont="1" applyFill="1" applyBorder="1" applyAlignment="1" applyProtection="1">
      <alignment horizontal="right" indent="1"/>
      <protection locked="0"/>
    </xf>
    <xf numFmtId="164" fontId="5" fillId="0" borderId="17" xfId="0" applyNumberFormat="1" applyFont="1" applyBorder="1" applyAlignment="1" applyProtection="1">
      <alignment horizontal="right" indent="1"/>
      <protection locked="0"/>
    </xf>
    <xf numFmtId="164" fontId="5" fillId="0" borderId="11" xfId="0" applyNumberFormat="1" applyFont="1" applyBorder="1" applyAlignment="1" applyProtection="1">
      <alignment horizontal="right" indent="1"/>
      <protection locked="0"/>
    </xf>
    <xf numFmtId="164" fontId="5" fillId="2" borderId="12" xfId="0" applyNumberFormat="1" applyFont="1" applyFill="1" applyBorder="1" applyAlignment="1">
      <alignment horizontal="right"/>
    </xf>
    <xf numFmtId="164" fontId="5" fillId="0" borderId="18" xfId="0" applyNumberFormat="1" applyFont="1" applyBorder="1" applyAlignment="1">
      <alignment horizontal="right"/>
    </xf>
    <xf numFmtId="0" fontId="13" fillId="0" borderId="4" xfId="0" applyFont="1" applyBorder="1"/>
    <xf numFmtId="41" fontId="5" fillId="2" borderId="4" xfId="0" applyNumberFormat="1" applyFont="1" applyFill="1" applyBorder="1" applyAlignment="1">
      <alignment horizontal="right"/>
    </xf>
    <xf numFmtId="0" fontId="5" fillId="2" borderId="0" xfId="0" applyFont="1" applyFill="1" applyAlignment="1">
      <alignment horizontal="right"/>
    </xf>
    <xf numFmtId="0" fontId="5" fillId="0" borderId="0" xfId="0" applyFont="1" applyAlignment="1">
      <alignment horizontal="right"/>
    </xf>
    <xf numFmtId="0" fontId="5" fillId="0" borderId="5" xfId="0" applyFont="1" applyBorder="1" applyAlignment="1">
      <alignment horizontal="right"/>
    </xf>
    <xf numFmtId="0" fontId="10" fillId="0" borderId="4" xfId="5" applyFont="1" applyBorder="1"/>
    <xf numFmtId="0" fontId="5" fillId="2" borderId="4" xfId="0" applyFont="1" applyFill="1" applyBorder="1" applyAlignment="1">
      <alignment horizontal="right"/>
    </xf>
    <xf numFmtId="0" fontId="5" fillId="2" borderId="4" xfId="0" applyFont="1" applyFill="1" applyBorder="1"/>
    <xf numFmtId="0" fontId="5" fillId="2" borderId="0" xfId="0" applyFont="1" applyFill="1"/>
    <xf numFmtId="42" fontId="5" fillId="2" borderId="15" xfId="0" applyNumberFormat="1" applyFont="1" applyFill="1" applyBorder="1"/>
    <xf numFmtId="42" fontId="5" fillId="0" borderId="16" xfId="0" applyNumberFormat="1" applyFont="1" applyBorder="1"/>
    <xf numFmtId="42" fontId="5" fillId="0" borderId="20" xfId="0" applyNumberFormat="1" applyFont="1" applyBorder="1"/>
    <xf numFmtId="42" fontId="5" fillId="0" borderId="15" xfId="0" applyNumberFormat="1" applyFont="1" applyBorder="1"/>
    <xf numFmtId="2" fontId="5" fillId="2" borderId="9" xfId="0" applyNumberFormat="1" applyFont="1" applyFill="1" applyBorder="1" applyAlignment="1">
      <alignment horizontal="right" indent="1"/>
    </xf>
    <xf numFmtId="2" fontId="5" fillId="2" borderId="10" xfId="0" applyNumberFormat="1" applyFont="1" applyFill="1" applyBorder="1" applyAlignment="1">
      <alignment horizontal="right" indent="1"/>
    </xf>
    <xf numFmtId="2" fontId="5" fillId="2" borderId="11" xfId="0" applyNumberFormat="1" applyFont="1" applyFill="1" applyBorder="1" applyAlignment="1">
      <alignment horizontal="right" indent="1"/>
    </xf>
    <xf numFmtId="2" fontId="5" fillId="0" borderId="17" xfId="0" applyNumberFormat="1" applyFont="1" applyBorder="1" applyAlignment="1">
      <alignment horizontal="right" indent="1"/>
    </xf>
    <xf numFmtId="2" fontId="5" fillId="0" borderId="10" xfId="0" applyNumberFormat="1" applyFont="1" applyBorder="1" applyAlignment="1">
      <alignment horizontal="right" indent="1"/>
    </xf>
    <xf numFmtId="2" fontId="5" fillId="0" borderId="11" xfId="0" applyNumberFormat="1" applyFont="1" applyBorder="1" applyAlignment="1">
      <alignment horizontal="right" indent="1"/>
    </xf>
    <xf numFmtId="10" fontId="5" fillId="2" borderId="9" xfId="0" applyNumberFormat="1" applyFont="1" applyFill="1" applyBorder="1" applyAlignment="1">
      <alignment horizontal="right" indent="1"/>
    </xf>
    <xf numFmtId="10" fontId="5" fillId="2" borderId="10" xfId="0" applyNumberFormat="1" applyFont="1" applyFill="1" applyBorder="1" applyAlignment="1">
      <alignment horizontal="right" indent="1"/>
    </xf>
    <xf numFmtId="10" fontId="5" fillId="2" borderId="11" xfId="0" applyNumberFormat="1" applyFont="1" applyFill="1" applyBorder="1" applyAlignment="1">
      <alignment horizontal="right" indent="1"/>
    </xf>
    <xf numFmtId="10" fontId="5" fillId="0" borderId="17" xfId="0" applyNumberFormat="1" applyFont="1" applyBorder="1" applyAlignment="1">
      <alignment horizontal="right" indent="1"/>
    </xf>
    <xf numFmtId="10" fontId="5" fillId="0" borderId="10" xfId="0" applyNumberFormat="1" applyFont="1" applyBorder="1" applyAlignment="1">
      <alignment horizontal="right" indent="1"/>
    </xf>
    <xf numFmtId="10" fontId="5" fillId="0" borderId="11" xfId="0" applyNumberFormat="1" applyFont="1" applyBorder="1" applyAlignment="1">
      <alignment horizontal="right" indent="1"/>
    </xf>
    <xf numFmtId="0" fontId="5" fillId="0" borderId="21" xfId="0" applyFont="1" applyBorder="1"/>
    <xf numFmtId="2" fontId="5" fillId="2" borderId="13" xfId="0" applyNumberFormat="1" applyFont="1" applyFill="1" applyBorder="1" applyAlignment="1">
      <alignment horizontal="right" indent="1"/>
    </xf>
    <xf numFmtId="2" fontId="5" fillId="2" borderId="14" xfId="0" applyNumberFormat="1" applyFont="1" applyFill="1" applyBorder="1" applyAlignment="1">
      <alignment horizontal="right" indent="1"/>
    </xf>
    <xf numFmtId="2" fontId="5" fillId="2" borderId="12" xfId="0" applyNumberFormat="1" applyFont="1" applyFill="1" applyBorder="1" applyAlignment="1">
      <alignment horizontal="right" indent="1"/>
    </xf>
    <xf numFmtId="2" fontId="5" fillId="0" borderId="18" xfId="0" applyNumberFormat="1" applyFont="1" applyBorder="1" applyAlignment="1">
      <alignment horizontal="right" indent="1"/>
    </xf>
    <xf numFmtId="2" fontId="5" fillId="0" borderId="14" xfId="0" applyNumberFormat="1" applyFont="1" applyBorder="1" applyAlignment="1">
      <alignment horizontal="right" indent="1"/>
    </xf>
    <xf numFmtId="2" fontId="5" fillId="0" borderId="12" xfId="0" applyNumberFormat="1" applyFont="1" applyBorder="1" applyAlignment="1">
      <alignment horizontal="right" indent="1"/>
    </xf>
    <xf numFmtId="0" fontId="10" fillId="0" borderId="0" xfId="0" applyFont="1"/>
    <xf numFmtId="0" fontId="5" fillId="0" borderId="0" xfId="0" applyFont="1" applyProtection="1">
      <protection locked="0"/>
    </xf>
    <xf numFmtId="0" fontId="14" fillId="0" borderId="0" xfId="0" applyFont="1" applyAlignment="1">
      <alignment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0" xfId="0" applyFont="1" applyAlignment="1">
      <alignment horizontal="center" vertical="center"/>
    </xf>
    <xf numFmtId="0" fontId="0" fillId="0" borderId="9" xfId="0" applyBorder="1" applyAlignment="1">
      <alignment vertical="center" wrapText="1"/>
    </xf>
    <xf numFmtId="44" fontId="0" fillId="0" borderId="10" xfId="0" applyNumberFormat="1" applyBorder="1" applyAlignment="1">
      <alignment vertical="center" wrapText="1"/>
    </xf>
    <xf numFmtId="0" fontId="5" fillId="0" borderId="11" xfId="0" applyFont="1" applyBorder="1" applyAlignment="1">
      <alignment horizontal="center"/>
    </xf>
    <xf numFmtId="0" fontId="16" fillId="0" borderId="0" xfId="0" applyFont="1" applyAlignment="1">
      <alignment vertical="center" wrapText="1"/>
    </xf>
    <xf numFmtId="44" fontId="16" fillId="0" borderId="0" xfId="0" applyNumberFormat="1" applyFont="1" applyAlignment="1">
      <alignment vertical="center"/>
    </xf>
    <xf numFmtId="0" fontId="0" fillId="4" borderId="9" xfId="0" applyFill="1" applyBorder="1" applyAlignment="1">
      <alignment vertical="center" wrapText="1"/>
    </xf>
    <xf numFmtId="164" fontId="0" fillId="4" borderId="10" xfId="0" applyNumberFormat="1" applyFill="1" applyBorder="1" applyAlignment="1">
      <alignment vertical="center" wrapText="1"/>
    </xf>
    <xf numFmtId="44" fontId="0" fillId="4" borderId="10" xfId="0" applyNumberFormat="1" applyFill="1" applyBorder="1" applyAlignment="1">
      <alignment vertical="center" wrapText="1"/>
    </xf>
    <xf numFmtId="0" fontId="5" fillId="4" borderId="11" xfId="0" applyFont="1" applyFill="1" applyBorder="1" applyAlignment="1">
      <alignment horizontal="center" wrapText="1"/>
    </xf>
    <xf numFmtId="164" fontId="0" fillId="0" borderId="10" xfId="0" applyNumberFormat="1" applyBorder="1" applyAlignment="1">
      <alignment vertical="center" wrapText="1"/>
    </xf>
    <xf numFmtId="0" fontId="5" fillId="4" borderId="11" xfId="0" applyFont="1" applyFill="1" applyBorder="1" applyAlignment="1">
      <alignment horizontal="center"/>
    </xf>
    <xf numFmtId="0" fontId="0" fillId="0" borderId="25" xfId="0" applyBorder="1" applyAlignment="1">
      <alignment vertical="center" wrapText="1"/>
    </xf>
    <xf numFmtId="164" fontId="0" fillId="0" borderId="26" xfId="0" applyNumberFormat="1" applyBorder="1" applyAlignment="1">
      <alignment vertical="center" wrapText="1"/>
    </xf>
    <xf numFmtId="44" fontId="0" fillId="0" borderId="26" xfId="0" applyNumberFormat="1" applyBorder="1" applyAlignment="1">
      <alignment vertical="center" wrapText="1"/>
    </xf>
    <xf numFmtId="0" fontId="5" fillId="0" borderId="27" xfId="0" applyFont="1" applyBorder="1" applyAlignment="1">
      <alignment horizontal="center"/>
    </xf>
    <xf numFmtId="0" fontId="0" fillId="0" borderId="6" xfId="0" applyBorder="1" applyAlignment="1">
      <alignment vertical="center" wrapText="1"/>
    </xf>
    <xf numFmtId="164" fontId="0" fillId="0" borderId="7" xfId="0" applyNumberFormat="1" applyBorder="1" applyAlignment="1">
      <alignment vertical="center" wrapText="1"/>
    </xf>
    <xf numFmtId="44" fontId="0" fillId="0" borderId="7" xfId="0" applyNumberFormat="1" applyBorder="1" applyAlignment="1">
      <alignment vertical="center" wrapText="1"/>
    </xf>
    <xf numFmtId="0" fontId="5" fillId="0" borderId="8" xfId="0" applyFont="1" applyBorder="1" applyAlignment="1">
      <alignment horizontal="center"/>
    </xf>
    <xf numFmtId="0" fontId="0" fillId="0" borderId="28" xfId="0" applyBorder="1" applyAlignment="1">
      <alignment vertical="center" wrapText="1"/>
    </xf>
    <xf numFmtId="164" fontId="0" fillId="0" borderId="29" xfId="0" applyNumberFormat="1" applyBorder="1" applyAlignment="1">
      <alignment vertical="center" wrapText="1"/>
    </xf>
    <xf numFmtId="44" fontId="0" fillId="0" borderId="29" xfId="0" applyNumberFormat="1" applyBorder="1" applyAlignment="1">
      <alignment vertical="center" wrapText="1"/>
    </xf>
    <xf numFmtId="0" fontId="6" fillId="0" borderId="0" xfId="0" applyFont="1" applyProtection="1">
      <protection locked="0"/>
    </xf>
    <xf numFmtId="0" fontId="6" fillId="0" borderId="0" xfId="0" applyFont="1" applyAlignment="1">
      <alignment horizontal="center"/>
    </xf>
    <xf numFmtId="0" fontId="5" fillId="0" borderId="0" xfId="0" applyFont="1" applyAlignment="1">
      <alignment horizontal="left"/>
    </xf>
    <xf numFmtId="0" fontId="5" fillId="0" borderId="0" xfId="0" applyFont="1" applyAlignment="1">
      <alignment horizontal="left" wrapText="1"/>
    </xf>
    <xf numFmtId="43" fontId="5" fillId="0" borderId="0" xfId="1" applyFont="1"/>
    <xf numFmtId="0" fontId="17" fillId="0" borderId="0" xfId="0" applyFont="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164" fontId="17" fillId="0" borderId="33" xfId="0" applyNumberFormat="1" applyFont="1" applyBorder="1" applyAlignment="1">
      <alignment horizontal="right" vertical="center"/>
    </xf>
    <xf numFmtId="164" fontId="17" fillId="0" borderId="11" xfId="0" applyNumberFormat="1" applyFont="1" applyBorder="1" applyAlignment="1">
      <alignment horizontal="righ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164" fontId="17" fillId="0" borderId="37" xfId="0" applyNumberFormat="1" applyFont="1" applyBorder="1" applyAlignment="1">
      <alignment horizontal="right" vertical="center"/>
    </xf>
    <xf numFmtId="0" fontId="20" fillId="0" borderId="4" xfId="0" applyFont="1" applyBorder="1" applyAlignment="1">
      <alignment horizontal="right" vertical="center" indent="1"/>
    </xf>
    <xf numFmtId="0" fontId="20" fillId="0" borderId="0" xfId="0" applyFont="1" applyAlignment="1">
      <alignment horizontal="right" vertical="center" indent="1"/>
    </xf>
    <xf numFmtId="44" fontId="17" fillId="0" borderId="0" xfId="0" applyNumberFormat="1" applyFont="1" applyAlignment="1">
      <alignment horizontal="right" vertical="center"/>
    </xf>
    <xf numFmtId="0" fontId="20" fillId="0" borderId="38" xfId="0" applyFont="1" applyBorder="1" applyAlignment="1">
      <alignment horizontal="right" vertical="center" indent="1"/>
    </xf>
    <xf numFmtId="0" fontId="20" fillId="0" borderId="39" xfId="0" applyFont="1" applyBorder="1" applyAlignment="1">
      <alignment horizontal="right" vertical="center" indent="1"/>
    </xf>
    <xf numFmtId="44" fontId="17" fillId="0" borderId="39" xfId="0" applyNumberFormat="1" applyFont="1" applyBorder="1" applyAlignment="1">
      <alignment horizontal="right" vertical="center"/>
    </xf>
    <xf numFmtId="0" fontId="17" fillId="0" borderId="39" xfId="0" applyFont="1" applyBorder="1" applyAlignment="1">
      <alignment vertical="center"/>
    </xf>
    <xf numFmtId="0" fontId="17" fillId="0" borderId="40" xfId="0" applyFont="1" applyBorder="1" applyAlignment="1">
      <alignment vertical="center"/>
    </xf>
    <xf numFmtId="0" fontId="17" fillId="0" borderId="0" xfId="0" applyFont="1"/>
    <xf numFmtId="0" fontId="19" fillId="0" borderId="0" xfId="0" applyFont="1" applyAlignment="1">
      <alignment horizontal="right"/>
    </xf>
    <xf numFmtId="0" fontId="19" fillId="0" borderId="0" xfId="0" applyFont="1" applyAlignment="1">
      <alignment horizontal="right" vertical="center"/>
    </xf>
    <xf numFmtId="0" fontId="19" fillId="0" borderId="0" xfId="0" applyFont="1" applyAlignment="1">
      <alignment horizontal="center" vertical="center"/>
    </xf>
    <xf numFmtId="0" fontId="17" fillId="9" borderId="19" xfId="0" applyFont="1" applyFill="1" applyBorder="1" applyAlignment="1">
      <alignment horizontal="center" vertical="center"/>
    </xf>
    <xf numFmtId="0" fontId="17" fillId="9" borderId="20"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7" fillId="10" borderId="9" xfId="0" applyFont="1" applyFill="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10" borderId="9" xfId="0" applyFont="1" applyFill="1" applyBorder="1" applyAlignment="1">
      <alignment horizontal="center" vertical="center" wrapText="1"/>
    </xf>
    <xf numFmtId="164" fontId="21" fillId="0" borderId="10" xfId="0" applyNumberFormat="1" applyFont="1" applyBorder="1" applyAlignment="1">
      <alignment vertical="center"/>
    </xf>
    <xf numFmtId="44" fontId="21" fillId="0" borderId="10" xfId="0" applyNumberFormat="1" applyFont="1" applyBorder="1" applyAlignment="1">
      <alignment vertical="center"/>
    </xf>
    <xf numFmtId="164" fontId="21" fillId="0" borderId="11" xfId="0" applyNumberFormat="1" applyFont="1" applyBorder="1" applyAlignment="1">
      <alignment vertical="center"/>
    </xf>
    <xf numFmtId="0" fontId="17" fillId="10" borderId="13" xfId="0" applyFont="1" applyFill="1" applyBorder="1" applyAlignment="1">
      <alignment horizontal="center" vertical="center" wrapText="1"/>
    </xf>
    <xf numFmtId="44" fontId="21" fillId="0" borderId="14" xfId="0" applyNumberFormat="1" applyFont="1" applyBorder="1" applyAlignment="1">
      <alignment vertical="center"/>
    </xf>
    <xf numFmtId="164" fontId="21" fillId="0" borderId="12" xfId="0" applyNumberFormat="1" applyFont="1" applyBorder="1" applyAlignment="1">
      <alignment vertical="center"/>
    </xf>
    <xf numFmtId="164" fontId="17" fillId="0" borderId="0" xfId="0" applyNumberFormat="1" applyFont="1"/>
    <xf numFmtId="0" fontId="17" fillId="0" borderId="28" xfId="0" applyFont="1" applyBorder="1" applyAlignment="1">
      <alignment horizontal="center" vertical="center" wrapText="1"/>
    </xf>
    <xf numFmtId="0" fontId="17" fillId="3" borderId="29" xfId="0" applyFont="1" applyFill="1" applyBorder="1" applyAlignment="1">
      <alignment horizontal="center" vertical="center"/>
    </xf>
    <xf numFmtId="166" fontId="17" fillId="0" borderId="29" xfId="0" applyNumberFormat="1" applyFont="1" applyBorder="1" applyAlignment="1">
      <alignment horizontal="center" vertical="center"/>
    </xf>
    <xf numFmtId="166" fontId="17" fillId="0" borderId="30" xfId="0" applyNumberFormat="1" applyFont="1" applyBorder="1" applyAlignment="1">
      <alignment horizontal="center" vertical="center"/>
    </xf>
    <xf numFmtId="0" fontId="17" fillId="0" borderId="0" xfId="0" applyFont="1" applyAlignment="1">
      <alignment horizontal="center" vertical="center" wrapText="1"/>
    </xf>
    <xf numFmtId="44" fontId="17" fillId="0" borderId="0" xfId="0" applyNumberFormat="1" applyFont="1" applyAlignment="1">
      <alignment horizontal="center" vertical="center"/>
    </xf>
    <xf numFmtId="164" fontId="5" fillId="0" borderId="0" xfId="0" applyNumberFormat="1" applyFont="1"/>
    <xf numFmtId="41" fontId="5" fillId="11" borderId="9" xfId="0" applyNumberFormat="1" applyFont="1" applyFill="1" applyBorder="1" applyAlignment="1" applyProtection="1">
      <alignment horizontal="right"/>
      <protection locked="0"/>
    </xf>
    <xf numFmtId="43" fontId="5" fillId="0" borderId="0" xfId="0" applyNumberFormat="1" applyFont="1"/>
    <xf numFmtId="49" fontId="22" fillId="0" borderId="0" xfId="0" applyNumberFormat="1" applyFont="1" applyAlignment="1">
      <alignment horizontal="center"/>
    </xf>
    <xf numFmtId="49" fontId="22" fillId="0" borderId="41" xfId="0" applyNumberFormat="1" applyFont="1" applyBorder="1" applyAlignment="1">
      <alignment horizontal="center"/>
    </xf>
    <xf numFmtId="49" fontId="23" fillId="0" borderId="0" xfId="0" applyNumberFormat="1" applyFont="1" applyAlignment="1">
      <alignment horizontal="center"/>
    </xf>
    <xf numFmtId="0" fontId="23" fillId="0" borderId="0" xfId="0" applyFont="1" applyAlignment="1">
      <alignment horizontal="center"/>
    </xf>
    <xf numFmtId="49" fontId="22" fillId="0" borderId="0" xfId="0" applyNumberFormat="1" applyFont="1"/>
    <xf numFmtId="165" fontId="24" fillId="0" borderId="0" xfId="0" applyNumberFormat="1" applyFont="1"/>
    <xf numFmtId="49" fontId="24" fillId="0" borderId="0" xfId="0" applyNumberFormat="1" applyFont="1"/>
    <xf numFmtId="0" fontId="23" fillId="0" borderId="0" xfId="0" applyFont="1"/>
    <xf numFmtId="165" fontId="24" fillId="0" borderId="42" xfId="0" applyNumberFormat="1" applyFont="1" applyBorder="1"/>
    <xf numFmtId="165" fontId="24" fillId="0" borderId="7" xfId="0" applyNumberFormat="1" applyFont="1" applyBorder="1"/>
    <xf numFmtId="165" fontId="24" fillId="12" borderId="0" xfId="0" applyNumberFormat="1" applyFont="1" applyFill="1"/>
    <xf numFmtId="165" fontId="24" fillId="0" borderId="2" xfId="0" applyNumberFormat="1" applyFont="1" applyBorder="1"/>
    <xf numFmtId="165" fontId="22" fillId="0" borderId="43" xfId="0" applyNumberFormat="1" applyFont="1" applyBorder="1"/>
    <xf numFmtId="0" fontId="22" fillId="0" borderId="0" xfId="0" applyFont="1"/>
    <xf numFmtId="42" fontId="5" fillId="11" borderId="11" xfId="0" applyNumberFormat="1" applyFont="1" applyFill="1" applyBorder="1" applyAlignment="1" applyProtection="1">
      <alignment horizontal="right"/>
      <protection locked="0"/>
    </xf>
    <xf numFmtId="41" fontId="5" fillId="11" borderId="11" xfId="0" applyNumberFormat="1" applyFont="1" applyFill="1" applyBorder="1" applyAlignment="1" applyProtection="1">
      <alignment horizontal="right"/>
      <protection locked="0"/>
    </xf>
    <xf numFmtId="42" fontId="5" fillId="11" borderId="11" xfId="0" applyNumberFormat="1" applyFont="1" applyFill="1" applyBorder="1" applyAlignment="1">
      <alignment horizontal="right"/>
    </xf>
    <xf numFmtId="42" fontId="5" fillId="11" borderId="11" xfId="2" applyNumberFormat="1" applyFont="1" applyFill="1" applyBorder="1" applyAlignment="1">
      <alignment horizontal="right"/>
    </xf>
    <xf numFmtId="42" fontId="5" fillId="11" borderId="11" xfId="0" applyNumberFormat="1" applyFont="1" applyFill="1" applyBorder="1"/>
    <xf numFmtId="42" fontId="5" fillId="11" borderId="10" xfId="0" applyNumberFormat="1" applyFont="1" applyFill="1" applyBorder="1"/>
    <xf numFmtId="42" fontId="5" fillId="11" borderId="12" xfId="0" applyNumberFormat="1" applyFont="1" applyFill="1" applyBorder="1"/>
    <xf numFmtId="164" fontId="5" fillId="11" borderId="15" xfId="0" applyNumberFormat="1" applyFont="1" applyFill="1" applyBorder="1" applyAlignment="1" applyProtection="1">
      <alignment horizontal="right" indent="1"/>
      <protection locked="0"/>
    </xf>
    <xf numFmtId="164" fontId="5" fillId="11" borderId="11" xfId="0" applyNumberFormat="1" applyFont="1" applyFill="1" applyBorder="1" applyAlignment="1" applyProtection="1">
      <alignment horizontal="right" indent="1"/>
      <protection locked="0"/>
    </xf>
    <xf numFmtId="164" fontId="5" fillId="11" borderId="12" xfId="0" applyNumberFormat="1" applyFont="1" applyFill="1" applyBorder="1" applyAlignment="1">
      <alignment horizontal="right"/>
    </xf>
    <xf numFmtId="165" fontId="24" fillId="14" borderId="0" xfId="0" applyNumberFormat="1" applyFont="1" applyFill="1"/>
    <xf numFmtId="165" fontId="24" fillId="14" borderId="42" xfId="0" applyNumberFormat="1" applyFont="1" applyFill="1" applyBorder="1"/>
    <xf numFmtId="42" fontId="5" fillId="11" borderId="9" xfId="0" applyNumberFormat="1" applyFont="1" applyFill="1" applyBorder="1" applyAlignment="1" applyProtection="1">
      <alignment horizontal="right"/>
      <protection locked="0"/>
    </xf>
    <xf numFmtId="39" fontId="23" fillId="0" borderId="0" xfId="0" applyNumberFormat="1" applyFont="1"/>
    <xf numFmtId="165" fontId="24" fillId="13" borderId="0" xfId="0" applyNumberFormat="1" applyFont="1" applyFill="1"/>
    <xf numFmtId="0" fontId="5" fillId="11" borderId="0" xfId="0" applyFont="1" applyFill="1"/>
    <xf numFmtId="41" fontId="5" fillId="11" borderId="0" xfId="0" applyNumberFormat="1" applyFont="1" applyFill="1"/>
    <xf numFmtId="165" fontId="0" fillId="11" borderId="0" xfId="0" applyNumberFormat="1" applyFill="1"/>
    <xf numFmtId="42" fontId="5" fillId="11" borderId="9" xfId="0" applyNumberFormat="1" applyFont="1" applyFill="1" applyBorder="1" applyProtection="1">
      <protection locked="0"/>
    </xf>
    <xf numFmtId="41" fontId="5" fillId="11" borderId="9" xfId="0" applyNumberFormat="1" applyFont="1" applyFill="1" applyBorder="1" applyProtection="1">
      <protection locked="0"/>
    </xf>
    <xf numFmtId="164" fontId="5" fillId="2" borderId="0" xfId="0" applyNumberFormat="1" applyFont="1" applyFill="1"/>
    <xf numFmtId="0" fontId="28" fillId="0" borderId="0" xfId="0" applyFont="1"/>
    <xf numFmtId="0" fontId="29" fillId="0" borderId="0" xfId="0" applyFont="1"/>
    <xf numFmtId="39" fontId="0" fillId="0" borderId="0" xfId="0" applyNumberFormat="1"/>
    <xf numFmtId="49" fontId="28" fillId="0" borderId="0" xfId="0" applyNumberFormat="1" applyFont="1" applyAlignment="1">
      <alignment horizontal="center"/>
    </xf>
    <xf numFmtId="49" fontId="28" fillId="0" borderId="41" xfId="0" applyNumberFormat="1" applyFont="1" applyBorder="1" applyAlignment="1">
      <alignment horizontal="center"/>
    </xf>
    <xf numFmtId="49" fontId="0" fillId="0" borderId="0" xfId="0" applyNumberFormat="1" applyAlignment="1">
      <alignment horizontal="center"/>
    </xf>
    <xf numFmtId="0" fontId="0" fillId="0" borderId="0" xfId="0" applyAlignment="1">
      <alignment horizontal="center"/>
    </xf>
    <xf numFmtId="49" fontId="28" fillId="0" borderId="0" xfId="0" applyNumberFormat="1" applyFont="1"/>
    <xf numFmtId="165" fontId="30" fillId="0" borderId="0" xfId="0" applyNumberFormat="1" applyFont="1"/>
    <xf numFmtId="49" fontId="30" fillId="0" borderId="0" xfId="0" applyNumberFormat="1" applyFont="1"/>
    <xf numFmtId="165" fontId="30" fillId="0" borderId="42" xfId="0" applyNumberFormat="1" applyFont="1" applyBorder="1"/>
    <xf numFmtId="4" fontId="0" fillId="0" borderId="0" xfId="0" applyNumberFormat="1"/>
    <xf numFmtId="3" fontId="30" fillId="0" borderId="0" xfId="2" applyNumberFormat="1" applyFont="1"/>
    <xf numFmtId="0" fontId="30" fillId="0" borderId="0" xfId="2" applyNumberFormat="1" applyFont="1"/>
    <xf numFmtId="49" fontId="30" fillId="0" borderId="0" xfId="0" quotePrefix="1" applyNumberFormat="1" applyFont="1"/>
    <xf numFmtId="49" fontId="31" fillId="0" borderId="0" xfId="0" applyNumberFormat="1" applyFont="1"/>
    <xf numFmtId="165" fontId="32" fillId="0" borderId="42" xfId="0" applyNumberFormat="1" applyFont="1" applyBorder="1"/>
    <xf numFmtId="49" fontId="32" fillId="0" borderId="0" xfId="0" applyNumberFormat="1" applyFont="1"/>
    <xf numFmtId="0" fontId="27" fillId="0" borderId="0" xfId="0" applyFont="1"/>
    <xf numFmtId="167" fontId="0" fillId="0" borderId="0" xfId="0" applyNumberFormat="1"/>
    <xf numFmtId="165" fontId="0" fillId="0" borderId="0" xfId="0" applyNumberFormat="1"/>
    <xf numFmtId="165" fontId="30" fillId="0" borderId="7" xfId="0" applyNumberFormat="1" applyFont="1" applyBorder="1"/>
    <xf numFmtId="49" fontId="28" fillId="3" borderId="0" xfId="0" applyNumberFormat="1" applyFont="1" applyFill="1"/>
    <xf numFmtId="165" fontId="30" fillId="3" borderId="0" xfId="0" applyNumberFormat="1" applyFont="1" applyFill="1"/>
    <xf numFmtId="49" fontId="30" fillId="3" borderId="0" xfId="0" applyNumberFormat="1" applyFont="1" applyFill="1"/>
    <xf numFmtId="0" fontId="0" fillId="3" borderId="0" xfId="0" applyFill="1"/>
    <xf numFmtId="49" fontId="33" fillId="3" borderId="0" xfId="0" applyNumberFormat="1" applyFont="1" applyFill="1"/>
    <xf numFmtId="165" fontId="34" fillId="3" borderId="0" xfId="0" applyNumberFormat="1" applyFont="1" applyFill="1"/>
    <xf numFmtId="49" fontId="34" fillId="3" borderId="0" xfId="0" applyNumberFormat="1" applyFont="1" applyFill="1"/>
    <xf numFmtId="0" fontId="35" fillId="3" borderId="0" xfId="0" applyFont="1" applyFill="1"/>
    <xf numFmtId="49" fontId="29" fillId="0" borderId="0" xfId="0" applyNumberFormat="1" applyFont="1"/>
    <xf numFmtId="165" fontId="36" fillId="0" borderId="0" xfId="0" applyNumberFormat="1" applyFont="1"/>
    <xf numFmtId="49" fontId="36" fillId="0" borderId="0" xfId="0" applyNumberFormat="1" applyFont="1"/>
    <xf numFmtId="49" fontId="29" fillId="3" borderId="0" xfId="0" applyNumberFormat="1" applyFont="1" applyFill="1"/>
    <xf numFmtId="165" fontId="36" fillId="3" borderId="0" xfId="0" applyNumberFormat="1" applyFont="1" applyFill="1"/>
    <xf numFmtId="49" fontId="36" fillId="3" borderId="0" xfId="0" applyNumberFormat="1" applyFont="1" applyFill="1"/>
    <xf numFmtId="165" fontId="32" fillId="3" borderId="0" xfId="0" applyNumberFormat="1" applyFont="1" applyFill="1"/>
    <xf numFmtId="43" fontId="30" fillId="0" borderId="0" xfId="1" applyFont="1" applyAlignment="1"/>
    <xf numFmtId="165" fontId="30" fillId="3" borderId="42" xfId="0" applyNumberFormat="1" applyFont="1" applyFill="1" applyBorder="1"/>
    <xf numFmtId="49" fontId="28" fillId="11" borderId="0" xfId="0" applyNumberFormat="1" applyFont="1" applyFill="1"/>
    <xf numFmtId="165" fontId="30" fillId="11" borderId="0" xfId="0" applyNumberFormat="1" applyFont="1" applyFill="1"/>
    <xf numFmtId="49" fontId="30" fillId="11" borderId="0" xfId="0" applyNumberFormat="1" applyFont="1" applyFill="1"/>
    <xf numFmtId="0" fontId="0" fillId="11" borderId="0" xfId="0" applyFill="1"/>
    <xf numFmtId="165" fontId="30" fillId="0" borderId="2" xfId="0" applyNumberFormat="1" applyFont="1" applyBorder="1"/>
    <xf numFmtId="165" fontId="28" fillId="0" borderId="43" xfId="0" applyNumberFormat="1" applyFont="1" applyBorder="1"/>
    <xf numFmtId="0" fontId="24" fillId="0" borderId="0" xfId="0" applyFont="1"/>
    <xf numFmtId="3" fontId="28" fillId="0" borderId="0" xfId="0" applyNumberFormat="1" applyFont="1"/>
    <xf numFmtId="3" fontId="0" fillId="0" borderId="0" xfId="0" applyNumberFormat="1"/>
    <xf numFmtId="0" fontId="31" fillId="0" borderId="0" xfId="0" applyFont="1"/>
    <xf numFmtId="3" fontId="27" fillId="0" borderId="0" xfId="0" applyNumberFormat="1" applyFont="1"/>
    <xf numFmtId="43" fontId="0" fillId="0" borderId="0" xfId="1" applyFont="1"/>
    <xf numFmtId="43" fontId="0" fillId="0" borderId="0" xfId="0" applyNumberFormat="1"/>
    <xf numFmtId="0" fontId="5" fillId="0" borderId="0" xfId="0" applyFont="1" applyAlignment="1">
      <alignment horizontal="left" wrapText="1"/>
    </xf>
    <xf numFmtId="0" fontId="5" fillId="0" borderId="0" xfId="0" applyFont="1" applyAlignment="1" applyProtection="1">
      <alignment horizontal="left" vertical="center"/>
      <protection locked="0"/>
    </xf>
    <xf numFmtId="0" fontId="5" fillId="0" borderId="0" xfId="0" applyFont="1" applyAlignment="1">
      <alignment horizontal="left" vertical="top" wrapText="1"/>
    </xf>
    <xf numFmtId="0" fontId="16" fillId="0" borderId="0" xfId="0" applyFont="1" applyAlignment="1">
      <alignment horizontal="center" vertical="center" wrapText="1"/>
    </xf>
    <xf numFmtId="44" fontId="16" fillId="0" borderId="0" xfId="0" applyNumberFormat="1" applyFont="1" applyAlignment="1">
      <alignment horizontal="center" vertical="center"/>
    </xf>
    <xf numFmtId="0" fontId="7" fillId="0" borderId="0" xfId="0" applyFont="1" applyAlignment="1">
      <alignment horizontal="left"/>
    </xf>
    <xf numFmtId="0" fontId="7" fillId="0" borderId="0" xfId="0" applyFont="1" applyAlignment="1">
      <alignment horizontal="center"/>
    </xf>
    <xf numFmtId="0" fontId="3" fillId="0" borderId="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protection locked="0"/>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19" fillId="0" borderId="0" xfId="0" applyFont="1" applyAlignment="1">
      <alignment horizontal="center"/>
    </xf>
    <xf numFmtId="0" fontId="19" fillId="0" borderId="0" xfId="0" applyFont="1" applyAlignment="1">
      <alignment horizontal="center" vertical="center"/>
    </xf>
    <xf numFmtId="0" fontId="19" fillId="9" borderId="28" xfId="0" applyFont="1" applyFill="1" applyBorder="1" applyAlignment="1">
      <alignment horizontal="center" vertical="center"/>
    </xf>
    <xf numFmtId="0" fontId="19" fillId="9" borderId="29" xfId="0" applyFont="1" applyFill="1" applyBorder="1" applyAlignment="1">
      <alignment horizontal="center" vertical="center"/>
    </xf>
    <xf numFmtId="0" fontId="19" fillId="9" borderId="30" xfId="0" applyFont="1" applyFill="1" applyBorder="1" applyAlignment="1">
      <alignment horizontal="center" vertical="center"/>
    </xf>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9" fillId="5" borderId="28" xfId="0" applyFont="1" applyFill="1" applyBorder="1" applyAlignment="1">
      <alignment horizontal="center" vertical="center"/>
    </xf>
    <xf numFmtId="0" fontId="19" fillId="5" borderId="29" xfId="0" applyFont="1" applyFill="1" applyBorder="1" applyAlignment="1">
      <alignment horizontal="center" vertical="center"/>
    </xf>
    <xf numFmtId="0" fontId="19" fillId="5" borderId="30" xfId="0" applyFont="1" applyFill="1" applyBorder="1" applyAlignment="1">
      <alignment horizontal="center" vertical="center"/>
    </xf>
    <xf numFmtId="0" fontId="19" fillId="6" borderId="28" xfId="0" applyFont="1" applyFill="1" applyBorder="1" applyAlignment="1">
      <alignment horizontal="center" vertical="center"/>
    </xf>
    <xf numFmtId="0" fontId="19" fillId="6" borderId="29" xfId="0" applyFont="1" applyFill="1" applyBorder="1" applyAlignment="1">
      <alignment horizontal="center" vertical="center"/>
    </xf>
    <xf numFmtId="0" fontId="19" fillId="6" borderId="30" xfId="0" applyFont="1" applyFill="1" applyBorder="1" applyAlignment="1">
      <alignment horizontal="center" vertical="center"/>
    </xf>
    <xf numFmtId="0" fontId="19" fillId="7" borderId="28" xfId="0" applyFont="1" applyFill="1" applyBorder="1" applyAlignment="1">
      <alignment horizontal="center" vertical="center"/>
    </xf>
    <xf numFmtId="0" fontId="19" fillId="7" borderId="29" xfId="0" applyFont="1" applyFill="1" applyBorder="1" applyAlignment="1">
      <alignment horizontal="center" vertical="center"/>
    </xf>
    <xf numFmtId="0" fontId="19" fillId="7" borderId="30" xfId="0" applyFont="1" applyFill="1" applyBorder="1" applyAlignment="1">
      <alignment horizontal="center" vertical="center"/>
    </xf>
    <xf numFmtId="0" fontId="19" fillId="8" borderId="28" xfId="0" applyFont="1" applyFill="1" applyBorder="1" applyAlignment="1">
      <alignment horizontal="center" vertical="center"/>
    </xf>
    <xf numFmtId="0" fontId="19" fillId="8" borderId="29" xfId="0" applyFont="1" applyFill="1" applyBorder="1" applyAlignment="1">
      <alignment horizontal="center" vertical="center"/>
    </xf>
    <xf numFmtId="0" fontId="19" fillId="8" borderId="30" xfId="0" applyFont="1" applyFill="1" applyBorder="1" applyAlignment="1">
      <alignment horizontal="center"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34" xfId="0" applyFont="1" applyBorder="1" applyAlignment="1">
      <alignment horizontal="left" vertical="center"/>
    </xf>
    <xf numFmtId="0" fontId="20" fillId="0" borderId="17" xfId="0" applyFont="1" applyBorder="1" applyAlignment="1">
      <alignment horizontal="left" vertical="center"/>
    </xf>
    <xf numFmtId="0" fontId="20" fillId="0" borderId="35" xfId="0" applyFont="1" applyBorder="1" applyAlignment="1">
      <alignment horizontal="right" vertical="center" indent="1"/>
    </xf>
    <xf numFmtId="0" fontId="20" fillId="0" borderId="36" xfId="0" applyFont="1" applyBorder="1" applyAlignment="1">
      <alignment horizontal="right" vertical="center" indent="1"/>
    </xf>
    <xf numFmtId="0" fontId="19" fillId="0" borderId="0" xfId="0" applyFont="1" applyAlignment="1">
      <alignment horizontal="left" vertical="center"/>
    </xf>
  </cellXfs>
  <cellStyles count="6">
    <cellStyle name="Comma" xfId="1" builtinId="3"/>
    <cellStyle name="Comma0" xfId="4" xr:uid="{00000000-0005-0000-0000-000001000000}"/>
    <cellStyle name="Currency" xfId="2" builtinId="4"/>
    <cellStyle name="Normal" xfId="0" builtinId="0"/>
    <cellStyle name="Normal 2" xfId="3" xr:uid="{00000000-0005-0000-0000-000004000000}"/>
    <cellStyle name="Normal 6"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4</xdr:col>
      <xdr:colOff>101926</xdr:colOff>
      <xdr:row>7</xdr:row>
      <xdr:rowOff>49548</xdr:rowOff>
    </xdr:to>
    <xdr:sp macro="" textlink="">
      <xdr:nvSpPr>
        <xdr:cNvPr id="2" name="FILTER" hidden="1">
          <a:extLst>
            <a:ext uri="{63B3BB69-23CF-44E3-9099-C40C66FF867C}">
              <a14:compatExt xmlns:a14="http://schemas.microsoft.com/office/drawing/2010/main" spid="_x0000_s1025"/>
            </a:ext>
            <a:ext uri="{FF2B5EF4-FFF2-40B4-BE49-F238E27FC236}">
              <a16:creationId xmlns:a16="http://schemas.microsoft.com/office/drawing/2014/main" id="{B4A67ADF-18B7-407B-8365-F9AA09E5F464}"/>
            </a:ext>
          </a:extLst>
        </xdr:cNvPr>
        <xdr:cNvSpPr/>
      </xdr:nvSpPr>
      <xdr:spPr bwMode="auto">
        <a:xfrm>
          <a:off x="0" y="1085850"/>
          <a:ext cx="87630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6</xdr:row>
      <xdr:rowOff>0</xdr:rowOff>
    </xdr:from>
    <xdr:to>
      <xdr:col>4</xdr:col>
      <xdr:colOff>101926</xdr:colOff>
      <xdr:row>7</xdr:row>
      <xdr:rowOff>49548</xdr:rowOff>
    </xdr:to>
    <xdr:sp macro="" textlink="">
      <xdr:nvSpPr>
        <xdr:cNvPr id="3" name="HEADER" hidden="1">
          <a:extLst>
            <a:ext uri="{63B3BB69-23CF-44E3-9099-C40C66FF867C}">
              <a14:compatExt xmlns:a14="http://schemas.microsoft.com/office/drawing/2010/main" spid="_x0000_s1026"/>
            </a:ext>
            <a:ext uri="{FF2B5EF4-FFF2-40B4-BE49-F238E27FC236}">
              <a16:creationId xmlns:a16="http://schemas.microsoft.com/office/drawing/2014/main" id="{456F9ED2-9705-4FA0-B890-6011935EA7E5}"/>
            </a:ext>
          </a:extLst>
        </xdr:cNvPr>
        <xdr:cNvSpPr/>
      </xdr:nvSpPr>
      <xdr:spPr bwMode="auto">
        <a:xfrm>
          <a:off x="0" y="1085850"/>
          <a:ext cx="87630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6</xdr:row>
      <xdr:rowOff>0</xdr:rowOff>
    </xdr:from>
    <xdr:to>
      <xdr:col>4</xdr:col>
      <xdr:colOff>101926</xdr:colOff>
      <xdr:row>7</xdr:row>
      <xdr:rowOff>49548</xdr:rowOff>
    </xdr:to>
    <xdr:pic>
      <xdr:nvPicPr>
        <xdr:cNvPr id="4" name="FILTER" hidden="1">
          <a:extLst>
            <a:ext uri="{FF2B5EF4-FFF2-40B4-BE49-F238E27FC236}">
              <a16:creationId xmlns:a16="http://schemas.microsoft.com/office/drawing/2014/main" id="{51527AB3-AD27-46AE-8FA5-17D7AE0F01D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5850"/>
          <a:ext cx="87630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xdr:row>
      <xdr:rowOff>0</xdr:rowOff>
    </xdr:from>
    <xdr:to>
      <xdr:col>4</xdr:col>
      <xdr:colOff>101926</xdr:colOff>
      <xdr:row>7</xdr:row>
      <xdr:rowOff>49548</xdr:rowOff>
    </xdr:to>
    <xdr:pic>
      <xdr:nvPicPr>
        <xdr:cNvPr id="5" name="HEADER" hidden="1">
          <a:extLst>
            <a:ext uri="{FF2B5EF4-FFF2-40B4-BE49-F238E27FC236}">
              <a16:creationId xmlns:a16="http://schemas.microsoft.com/office/drawing/2014/main" id="{88DB4A75-B4D3-473C-BAC1-21E3C5A0ABC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85850"/>
          <a:ext cx="87630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tbizserver\D\Holt%20Biz%20Consulting%20Desktop%20Files\FY%2022\GIA%20FY%2022%20Budget%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Funding Plan II"/>
      <sheetName val="Assuptions"/>
      <sheetName val="Payables"/>
      <sheetName val="Payroll FY 22"/>
    </sheetNames>
    <sheetDataSet>
      <sheetData sheetId="0"/>
      <sheetData sheetId="1">
        <row r="37">
          <cell r="AE37">
            <v>33651.120000000003</v>
          </cell>
        </row>
      </sheetData>
      <sheetData sheetId="2">
        <row r="26">
          <cell r="D26">
            <v>153015.5</v>
          </cell>
        </row>
      </sheetData>
      <sheetData sheetId="3">
        <row r="8">
          <cell r="C8">
            <v>0</v>
          </cell>
        </row>
      </sheetData>
      <sheetData sheetId="4">
        <row r="31">
          <cell r="D31">
            <v>722005.51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Z727"/>
  <sheetViews>
    <sheetView tabSelected="1" workbookViewId="0">
      <selection activeCell="B19" sqref="B19:I19"/>
    </sheetView>
  </sheetViews>
  <sheetFormatPr defaultColWidth="9.28515625" defaultRowHeight="11.45"/>
  <cols>
    <col min="1" max="1" width="46.42578125" style="4" customWidth="1"/>
    <col min="2" max="9" width="13.28515625" style="4" customWidth="1"/>
    <col min="10" max="10" width="9.28515625" style="4"/>
    <col min="11" max="11" width="11" style="4" customWidth="1"/>
    <col min="12" max="12" width="9.28515625" style="4"/>
    <col min="13" max="16" width="0" style="4" hidden="1" customWidth="1"/>
    <col min="17" max="17" width="11" style="4" bestFit="1" customWidth="1"/>
    <col min="18" max="16384" width="9.28515625" style="4"/>
  </cols>
  <sheetData>
    <row r="1" spans="1:17" ht="13.9">
      <c r="A1" s="1" t="s">
        <v>0</v>
      </c>
      <c r="B1" s="2"/>
      <c r="C1" s="2"/>
      <c r="D1" s="2"/>
      <c r="E1" s="2"/>
      <c r="F1" s="2"/>
      <c r="G1" s="2"/>
      <c r="H1" s="2"/>
      <c r="I1" s="3"/>
    </row>
    <row r="2" spans="1:17" ht="12">
      <c r="A2" s="5" t="s">
        <v>1</v>
      </c>
      <c r="B2" s="6"/>
      <c r="C2" s="6"/>
      <c r="D2" s="6"/>
      <c r="H2" s="7" t="s">
        <v>2</v>
      </c>
      <c r="I2" s="8" t="s">
        <v>3</v>
      </c>
    </row>
    <row r="3" spans="1:17" s="13" customFormat="1" ht="13.9">
      <c r="A3" s="9" t="s">
        <v>4</v>
      </c>
      <c r="B3" s="10"/>
      <c r="C3" s="302"/>
      <c r="D3" s="302"/>
      <c r="E3" s="302"/>
      <c r="F3" s="302"/>
      <c r="G3" s="11"/>
      <c r="H3" s="11"/>
      <c r="I3" s="12"/>
    </row>
    <row r="4" spans="1:17" s="13" customFormat="1" ht="13.9">
      <c r="A4" s="9" t="s">
        <v>5</v>
      </c>
      <c r="B4" s="10" t="s">
        <v>6</v>
      </c>
      <c r="C4" s="303" t="s">
        <v>7</v>
      </c>
      <c r="D4" s="303"/>
      <c r="E4" s="303"/>
      <c r="F4" s="303"/>
      <c r="G4" s="11"/>
      <c r="H4" s="11"/>
      <c r="I4" s="12"/>
    </row>
    <row r="5" spans="1:17" s="13" customFormat="1" ht="13.9">
      <c r="A5" s="304" t="s">
        <v>8</v>
      </c>
      <c r="B5" s="305"/>
      <c r="C5" s="305"/>
      <c r="D5" s="305"/>
      <c r="E5" s="305"/>
      <c r="F5" s="305"/>
      <c r="G5" s="305"/>
      <c r="H5" s="305"/>
      <c r="I5" s="306"/>
    </row>
    <row r="6" spans="1:17" s="13" customFormat="1" ht="13.9">
      <c r="A6" s="304" t="s">
        <v>9</v>
      </c>
      <c r="B6" s="305"/>
      <c r="C6" s="305"/>
      <c r="D6" s="305"/>
      <c r="E6" s="305"/>
      <c r="F6" s="305"/>
      <c r="G6" s="305"/>
      <c r="H6" s="305"/>
      <c r="I6" s="306"/>
    </row>
    <row r="7" spans="1:17" s="13" customFormat="1" ht="13.9">
      <c r="A7" s="304" t="s">
        <v>10</v>
      </c>
      <c r="B7" s="305"/>
      <c r="C7" s="305"/>
      <c r="D7" s="305"/>
      <c r="E7" s="305"/>
      <c r="F7" s="305"/>
      <c r="G7" s="305"/>
      <c r="H7" s="305"/>
      <c r="I7" s="306"/>
    </row>
    <row r="8" spans="1:17" ht="13.9" thickBot="1">
      <c r="A8" s="14"/>
      <c r="B8" s="15"/>
      <c r="C8" s="15"/>
      <c r="D8" s="15"/>
      <c r="E8" s="16"/>
      <c r="F8" s="16"/>
      <c r="G8" s="16"/>
      <c r="H8" s="16"/>
      <c r="I8" s="17"/>
    </row>
    <row r="9" spans="1:17" ht="12.6" thickBot="1">
      <c r="A9" s="18"/>
      <c r="B9" s="307" t="s">
        <v>11</v>
      </c>
      <c r="C9" s="308"/>
      <c r="D9" s="309"/>
      <c r="E9" s="19" t="s">
        <v>12</v>
      </c>
      <c r="F9" s="20"/>
      <c r="G9" s="20"/>
      <c r="H9" s="20"/>
      <c r="I9" s="21"/>
    </row>
    <row r="10" spans="1:17">
      <c r="A10" s="18"/>
      <c r="B10" s="22" t="s">
        <v>13</v>
      </c>
      <c r="C10" s="23" t="s">
        <v>13</v>
      </c>
      <c r="D10" s="24" t="s">
        <v>13</v>
      </c>
      <c r="E10" s="25" t="s">
        <v>13</v>
      </c>
      <c r="F10" s="26" t="s">
        <v>13</v>
      </c>
      <c r="G10" s="26" t="s">
        <v>13</v>
      </c>
      <c r="H10" s="26" t="s">
        <v>13</v>
      </c>
      <c r="I10" s="27" t="s">
        <v>13</v>
      </c>
      <c r="K10" s="54"/>
    </row>
    <row r="11" spans="1:17">
      <c r="A11" s="18"/>
      <c r="B11" s="28">
        <v>2022</v>
      </c>
      <c r="C11" s="29">
        <v>2023</v>
      </c>
      <c r="D11" s="30">
        <v>2024</v>
      </c>
      <c r="E11" s="31">
        <v>2025</v>
      </c>
      <c r="F11" s="32">
        <v>2026</v>
      </c>
      <c r="G11" s="33">
        <v>2027</v>
      </c>
      <c r="H11" s="33">
        <v>2028</v>
      </c>
      <c r="I11" s="34">
        <v>2029</v>
      </c>
      <c r="M11" s="4">
        <v>1940000</v>
      </c>
      <c r="N11" s="4">
        <v>250</v>
      </c>
      <c r="O11" s="4">
        <v>7185</v>
      </c>
      <c r="P11" s="4">
        <f>+N11*O11</f>
        <v>1796250</v>
      </c>
    </row>
    <row r="12" spans="1:17" ht="12">
      <c r="A12" s="35" t="s">
        <v>14</v>
      </c>
      <c r="B12" s="36"/>
      <c r="C12" s="37"/>
      <c r="D12" s="38"/>
      <c r="E12" s="39"/>
      <c r="F12" s="40"/>
      <c r="G12" s="40"/>
      <c r="H12" s="40"/>
      <c r="I12" s="41"/>
      <c r="N12" s="4">
        <v>300</v>
      </c>
      <c r="O12" s="4">
        <v>7185.11</v>
      </c>
      <c r="P12" s="4">
        <f>+N12*O12</f>
        <v>2155533</v>
      </c>
      <c r="Q12" s="54"/>
    </row>
    <row r="13" spans="1:17">
      <c r="A13" s="18" t="s">
        <v>15</v>
      </c>
      <c r="B13" s="42">
        <v>1805240</v>
      </c>
      <c r="C13" s="224">
        <f>1161194-281559</f>
        <v>879635</v>
      </c>
      <c r="D13" s="224">
        <v>1297967.47</v>
      </c>
      <c r="E13" s="43">
        <f>1005616.76+78167.03+84548.13-7816.7</f>
        <v>1160515.22</v>
      </c>
      <c r="F13" s="43">
        <f>+E13*1.1</f>
        <v>1276566.7420000001</v>
      </c>
      <c r="G13" s="43">
        <f>+F13*1.1</f>
        <v>1404223.4162000001</v>
      </c>
      <c r="H13" s="43">
        <f>+G13*1.1</f>
        <v>1544645.7578200002</v>
      </c>
      <c r="I13" s="43">
        <f>+H13*1.1</f>
        <v>1699110.3336020003</v>
      </c>
      <c r="N13" s="4">
        <v>325</v>
      </c>
      <c r="O13" s="4">
        <v>7185.11</v>
      </c>
      <c r="P13" s="4">
        <f>+N13*O13</f>
        <v>2335160.75</v>
      </c>
    </row>
    <row r="14" spans="1:17">
      <c r="A14" s="18" t="s">
        <v>16</v>
      </c>
      <c r="B14" s="44"/>
      <c r="C14" s="225"/>
      <c r="D14" s="225"/>
      <c r="E14" s="45">
        <v>0</v>
      </c>
      <c r="F14" s="46">
        <v>0</v>
      </c>
      <c r="G14" s="46">
        <v>0</v>
      </c>
      <c r="H14" s="46">
        <v>0</v>
      </c>
      <c r="I14" s="47">
        <v>0</v>
      </c>
      <c r="J14" s="48"/>
      <c r="N14" s="4">
        <v>350</v>
      </c>
      <c r="O14" s="4">
        <v>7185.11</v>
      </c>
      <c r="P14" s="4">
        <f>+N14*O14</f>
        <v>2514788.5</v>
      </c>
    </row>
    <row r="15" spans="1:17">
      <c r="A15" s="18" t="s">
        <v>17</v>
      </c>
      <c r="B15" s="44"/>
      <c r="C15" s="225"/>
      <c r="D15" s="225"/>
      <c r="E15" s="45">
        <v>0</v>
      </c>
      <c r="F15" s="46">
        <v>0</v>
      </c>
      <c r="G15" s="46">
        <v>0</v>
      </c>
      <c r="H15" s="46">
        <v>0</v>
      </c>
      <c r="I15" s="47">
        <v>0</v>
      </c>
      <c r="J15" s="48"/>
      <c r="K15" s="54"/>
      <c r="N15" s="4">
        <v>350</v>
      </c>
      <c r="O15" s="4">
        <v>7185.11</v>
      </c>
      <c r="P15" s="4">
        <f>+N15*O15</f>
        <v>2514788.5</v>
      </c>
    </row>
    <row r="16" spans="1:17">
      <c r="A16" s="18" t="s">
        <v>18</v>
      </c>
      <c r="B16" s="44">
        <f>17279+54530</f>
        <v>71809</v>
      </c>
      <c r="C16" s="225">
        <f>9928+74736+74684</f>
        <v>159348</v>
      </c>
      <c r="D16" s="225">
        <f>9225.17+137370.79+1359.35+69872.13+13594.47</f>
        <v>231421.91000000003</v>
      </c>
      <c r="E16" s="208">
        <f>128193.24+10000</f>
        <v>138193.24</v>
      </c>
      <c r="F16" s="45">
        <f>+E16*1.1</f>
        <v>152012.56400000001</v>
      </c>
      <c r="G16" s="45">
        <f>+F16*1.1</f>
        <v>167213.82040000003</v>
      </c>
      <c r="H16" s="45">
        <f>+G16*1.1</f>
        <v>183935.20244000005</v>
      </c>
      <c r="I16" s="45">
        <f>+H16*1.1</f>
        <v>202328.72268400007</v>
      </c>
      <c r="J16" s="48"/>
    </row>
    <row r="17" spans="1:16" ht="12">
      <c r="A17" s="49" t="s">
        <v>19</v>
      </c>
      <c r="B17" s="50">
        <f>SUM(B13:B16)</f>
        <v>1877049</v>
      </c>
      <c r="C17" s="226">
        <f>SUM(C13:C16)</f>
        <v>1038983</v>
      </c>
      <c r="D17" s="226">
        <f>SUM(D13:D16)</f>
        <v>1529389.38</v>
      </c>
      <c r="E17" s="51">
        <f t="shared" ref="E17:I17" si="0">SUM(E13:E16)</f>
        <v>1298708.46</v>
      </c>
      <c r="F17" s="52">
        <f t="shared" si="0"/>
        <v>1428579.3060000001</v>
      </c>
      <c r="G17" s="52">
        <f t="shared" si="0"/>
        <v>1571437.2366000002</v>
      </c>
      <c r="H17" s="52">
        <f t="shared" si="0"/>
        <v>1728580.9602600003</v>
      </c>
      <c r="I17" s="53">
        <f t="shared" si="0"/>
        <v>1901439.0562860004</v>
      </c>
      <c r="J17" s="48"/>
      <c r="K17" s="54"/>
    </row>
    <row r="18" spans="1:16" ht="12">
      <c r="A18" s="49"/>
      <c r="B18" s="50"/>
      <c r="C18" s="226"/>
      <c r="D18" s="226"/>
      <c r="E18" s="51"/>
      <c r="F18" s="52"/>
      <c r="G18" s="52"/>
      <c r="H18" s="52"/>
      <c r="I18" s="53"/>
      <c r="J18" s="48"/>
      <c r="K18" s="54"/>
      <c r="N18" s="4">
        <v>750000</v>
      </c>
      <c r="O18" s="4">
        <f>35000*1.25</f>
        <v>43750</v>
      </c>
      <c r="P18" s="4">
        <f>(+N18+O18)*1.02</f>
        <v>809625</v>
      </c>
    </row>
    <row r="19" spans="1:16" ht="12">
      <c r="A19" s="35" t="s">
        <v>20</v>
      </c>
      <c r="B19" s="55"/>
      <c r="C19" s="227"/>
      <c r="D19" s="227"/>
      <c r="E19" s="56"/>
      <c r="F19" s="57"/>
      <c r="G19" s="57"/>
      <c r="H19" s="57"/>
      <c r="I19" s="58"/>
      <c r="J19" s="48"/>
      <c r="N19" s="4">
        <f>+P18</f>
        <v>809625</v>
      </c>
      <c r="O19" s="4">
        <v>43750</v>
      </c>
      <c r="P19" s="4">
        <f>(+N19+O19)*1.02</f>
        <v>870442.5</v>
      </c>
    </row>
    <row r="20" spans="1:16">
      <c r="A20" s="18" t="s">
        <v>21</v>
      </c>
      <c r="B20" s="42">
        <v>900167</v>
      </c>
      <c r="C20" s="224">
        <v>1384226</v>
      </c>
      <c r="D20" s="224">
        <v>1454462.47</v>
      </c>
      <c r="E20" s="242">
        <v>911605.76000000001</v>
      </c>
      <c r="F20" s="59">
        <f t="shared" ref="F20:I21" si="1">+E20*1.03</f>
        <v>938953.93280000007</v>
      </c>
      <c r="G20" s="59">
        <f>+F20*1.03-90000</f>
        <v>877122.55078400008</v>
      </c>
      <c r="H20" s="59">
        <f>+G20*1.03-90000</f>
        <v>813436.22730752011</v>
      </c>
      <c r="I20" s="59">
        <f>+H20*1.03</f>
        <v>837839.31412674568</v>
      </c>
      <c r="J20" s="48"/>
      <c r="N20" s="4">
        <f>+P19</f>
        <v>870442.5</v>
      </c>
      <c r="O20" s="4">
        <v>43750</v>
      </c>
      <c r="P20" s="4">
        <f>(+N20+O20)*1.02</f>
        <v>932476.35</v>
      </c>
    </row>
    <row r="21" spans="1:16">
      <c r="A21" s="18" t="s">
        <v>22</v>
      </c>
      <c r="B21" s="44">
        <f>310007+240418</f>
        <v>550425</v>
      </c>
      <c r="C21" s="225">
        <f>290222-89190</f>
        <v>201032</v>
      </c>
      <c r="D21" s="225">
        <v>329440.53000000003</v>
      </c>
      <c r="E21" s="243">
        <v>376427.21</v>
      </c>
      <c r="F21" s="60">
        <f>+E21*1.03-47000</f>
        <v>340720.02630000003</v>
      </c>
      <c r="G21" s="60">
        <f t="shared" si="1"/>
        <v>350941.62708900002</v>
      </c>
      <c r="H21" s="60">
        <f t="shared" si="1"/>
        <v>361469.87590167002</v>
      </c>
      <c r="I21" s="60">
        <f t="shared" si="1"/>
        <v>372313.97217872011</v>
      </c>
      <c r="J21" s="48"/>
    </row>
    <row r="22" spans="1:16">
      <c r="A22" s="18" t="s">
        <v>23</v>
      </c>
      <c r="B22" s="44">
        <f>+B92</f>
        <v>1099982.3499999999</v>
      </c>
      <c r="C22" s="225">
        <f>+C92</f>
        <v>938110.86999999988</v>
      </c>
      <c r="D22" s="225">
        <f>+D92</f>
        <v>1154908.7600000002</v>
      </c>
      <c r="E22" s="243">
        <f>+E92</f>
        <v>592214.08000000007</v>
      </c>
      <c r="F22" s="60">
        <f t="shared" ref="F22:I22" si="2">+F92</f>
        <v>651714.08000000007</v>
      </c>
      <c r="G22" s="60">
        <f t="shared" si="2"/>
        <v>651714.08000000007</v>
      </c>
      <c r="H22" s="60">
        <f t="shared" si="2"/>
        <v>663606.83000000007</v>
      </c>
      <c r="I22" s="60">
        <f t="shared" si="2"/>
        <v>663606.83000000007</v>
      </c>
      <c r="J22" s="48"/>
    </row>
    <row r="23" spans="1:16">
      <c r="A23" s="18" t="s">
        <v>24</v>
      </c>
      <c r="B23" s="44">
        <v>56383</v>
      </c>
      <c r="C23" s="225">
        <v>83480</v>
      </c>
      <c r="D23" s="225">
        <v>70518.63</v>
      </c>
      <c r="E23" s="243">
        <v>13018.4</v>
      </c>
      <c r="F23" s="60">
        <v>13018.4</v>
      </c>
      <c r="G23" s="60">
        <v>13018.4</v>
      </c>
      <c r="H23" s="60">
        <v>13018.4</v>
      </c>
      <c r="I23" s="60">
        <v>13018.4</v>
      </c>
      <c r="J23" s="48"/>
    </row>
    <row r="24" spans="1:16">
      <c r="A24" s="18" t="s">
        <v>25</v>
      </c>
      <c r="B24" s="44"/>
      <c r="C24" s="225"/>
      <c r="D24" s="225"/>
      <c r="E24" s="243">
        <v>0</v>
      </c>
      <c r="F24" s="60">
        <v>0</v>
      </c>
      <c r="G24" s="60">
        <v>0</v>
      </c>
      <c r="H24" s="60">
        <v>0</v>
      </c>
      <c r="I24" s="60">
        <v>0</v>
      </c>
      <c r="J24" s="48"/>
    </row>
    <row r="25" spans="1:16">
      <c r="A25" s="18" t="s">
        <v>26</v>
      </c>
      <c r="B25" s="44"/>
      <c r="C25" s="225"/>
      <c r="D25" s="225"/>
      <c r="E25" s="243">
        <v>0</v>
      </c>
      <c r="F25" s="60">
        <v>0</v>
      </c>
      <c r="G25" s="60">
        <v>0</v>
      </c>
      <c r="H25" s="60">
        <v>0</v>
      </c>
      <c r="I25" s="60">
        <v>0</v>
      </c>
      <c r="J25" s="48"/>
    </row>
    <row r="26" spans="1:16">
      <c r="A26" s="18" t="s">
        <v>27</v>
      </c>
      <c r="B26" s="44">
        <f>38960+28684</f>
        <v>67644</v>
      </c>
      <c r="C26" s="225">
        <f>195412+12617</f>
        <v>208029</v>
      </c>
      <c r="D26" s="225">
        <f>24024.82+9152.96</f>
        <v>33177.78</v>
      </c>
      <c r="E26" s="243">
        <v>9845.15</v>
      </c>
      <c r="F26" s="60">
        <v>1362.87</v>
      </c>
      <c r="G26" s="60">
        <v>1362.87</v>
      </c>
      <c r="H26" s="60">
        <v>1362.87</v>
      </c>
      <c r="I26" s="60">
        <v>1362.87</v>
      </c>
      <c r="J26" s="48"/>
    </row>
    <row r="27" spans="1:16">
      <c r="A27" s="18" t="s">
        <v>28</v>
      </c>
      <c r="B27" s="44"/>
      <c r="C27" s="225"/>
      <c r="D27" s="225"/>
      <c r="E27" s="60">
        <v>0</v>
      </c>
      <c r="F27" s="46">
        <v>0</v>
      </c>
      <c r="G27" s="46">
        <v>0</v>
      </c>
      <c r="H27" s="46">
        <v>0</v>
      </c>
      <c r="I27" s="47">
        <v>0</v>
      </c>
      <c r="J27" s="48"/>
    </row>
    <row r="28" spans="1:16">
      <c r="A28" s="18" t="s">
        <v>29</v>
      </c>
      <c r="B28" s="50">
        <f>SUM(B20:B27)</f>
        <v>2674601.3499999996</v>
      </c>
      <c r="C28" s="226">
        <f>SUM(C20:C27)</f>
        <v>2814877.87</v>
      </c>
      <c r="D28" s="226">
        <f>SUM(D20:D27)</f>
        <v>3042508.17</v>
      </c>
      <c r="E28" s="51">
        <f t="shared" ref="E28:I28" si="3">SUM(E20:E27)</f>
        <v>1903110.5999999999</v>
      </c>
      <c r="F28" s="52">
        <f t="shared" si="3"/>
        <v>1945769.3091000002</v>
      </c>
      <c r="G28" s="52">
        <f t="shared" si="3"/>
        <v>1894159.5278730001</v>
      </c>
      <c r="H28" s="52">
        <f t="shared" si="3"/>
        <v>1852894.2032091902</v>
      </c>
      <c r="I28" s="53">
        <f t="shared" si="3"/>
        <v>1888141.3863054658</v>
      </c>
      <c r="J28" s="61"/>
    </row>
    <row r="29" spans="1:16">
      <c r="A29" s="18"/>
      <c r="B29" s="50"/>
      <c r="C29" s="226"/>
      <c r="D29" s="226"/>
      <c r="E29" s="51"/>
      <c r="F29" s="52"/>
      <c r="G29" s="52"/>
      <c r="H29" s="52"/>
      <c r="I29" s="53"/>
      <c r="J29" s="48"/>
    </row>
    <row r="30" spans="1:16">
      <c r="A30" s="18" t="s">
        <v>30</v>
      </c>
      <c r="B30" s="50"/>
      <c r="C30" s="226"/>
      <c r="D30" s="226"/>
      <c r="E30" s="51"/>
      <c r="F30" s="52"/>
      <c r="G30" s="52"/>
      <c r="H30" s="52"/>
      <c r="I30" s="53"/>
      <c r="J30" s="48"/>
    </row>
    <row r="31" spans="1:16">
      <c r="A31" s="18" t="s">
        <v>20</v>
      </c>
      <c r="B31" s="50">
        <f>+B17-B28</f>
        <v>-797552.34999999963</v>
      </c>
      <c r="C31" s="226">
        <f>+C17-C28</f>
        <v>-1775894.87</v>
      </c>
      <c r="D31" s="226">
        <f>+D17-D28</f>
        <v>-1513118.79</v>
      </c>
      <c r="E31" s="51">
        <f>E17-E28</f>
        <v>-604402.1399999999</v>
      </c>
      <c r="F31" s="51">
        <f>F17-F28</f>
        <v>-517190.00310000009</v>
      </c>
      <c r="G31" s="51">
        <f>G17-G28</f>
        <v>-322722.29127299995</v>
      </c>
      <c r="H31" s="51">
        <f>H17-H28</f>
        <v>-124313.24294918985</v>
      </c>
      <c r="I31" s="51">
        <f>I17-I28</f>
        <v>13297.669980534585</v>
      </c>
      <c r="J31" s="48"/>
    </row>
    <row r="32" spans="1:16">
      <c r="A32" s="18"/>
      <c r="B32" s="50"/>
      <c r="C32" s="226"/>
      <c r="D32" s="226"/>
      <c r="E32" s="51"/>
      <c r="F32" s="52"/>
      <c r="G32" s="52"/>
      <c r="H32" s="52"/>
      <c r="I32" s="53"/>
      <c r="J32" s="48"/>
    </row>
    <row r="33" spans="1:17" ht="12">
      <c r="A33" s="35" t="s">
        <v>31</v>
      </c>
      <c r="B33" s="55"/>
      <c r="C33" s="227"/>
      <c r="D33" s="227"/>
      <c r="E33" s="56"/>
      <c r="F33" s="57"/>
      <c r="G33" s="57"/>
      <c r="H33" s="57"/>
      <c r="I33" s="58"/>
      <c r="J33" s="48"/>
    </row>
    <row r="34" spans="1:17">
      <c r="A34" s="18" t="s">
        <v>32</v>
      </c>
      <c r="B34" s="42">
        <v>712811</v>
      </c>
      <c r="C34" s="224">
        <v>1849329</v>
      </c>
      <c r="D34" s="224">
        <v>1032210.72</v>
      </c>
      <c r="E34" s="236">
        <f>274363+120000</f>
        <v>394363</v>
      </c>
      <c r="F34" s="236">
        <f t="shared" ref="F34:I34" si="4">274363+120000</f>
        <v>394363</v>
      </c>
      <c r="G34" s="236">
        <f t="shared" si="4"/>
        <v>394363</v>
      </c>
      <c r="H34" s="236">
        <f t="shared" si="4"/>
        <v>394363</v>
      </c>
      <c r="I34" s="236">
        <f t="shared" si="4"/>
        <v>394363</v>
      </c>
      <c r="J34" s="48"/>
    </row>
    <row r="35" spans="1:17">
      <c r="A35" s="18" t="s">
        <v>33</v>
      </c>
      <c r="B35" s="44">
        <v>293350</v>
      </c>
      <c r="C35" s="225">
        <f>57707+223852</f>
        <v>281559</v>
      </c>
      <c r="D35" s="225">
        <f>195350.81+58529.73+22485.89</f>
        <v>276366.43</v>
      </c>
      <c r="E35" s="44">
        <f>54365.74+149189.78</f>
        <v>203555.52</v>
      </c>
      <c r="F35" s="44">
        <v>57706.559999999998</v>
      </c>
      <c r="G35" s="44">
        <v>57706.559999999998</v>
      </c>
      <c r="H35" s="44">
        <v>57706.559999999998</v>
      </c>
      <c r="I35" s="44">
        <v>57706.559999999998</v>
      </c>
      <c r="J35" s="48"/>
      <c r="Q35" s="209"/>
    </row>
    <row r="36" spans="1:17">
      <c r="A36" s="18" t="s">
        <v>34</v>
      </c>
      <c r="B36" s="44"/>
      <c r="C36" s="225"/>
      <c r="D36" s="225"/>
      <c r="E36" s="45">
        <v>0</v>
      </c>
      <c r="F36" s="46">
        <v>0</v>
      </c>
      <c r="G36" s="46">
        <v>0</v>
      </c>
      <c r="H36" s="46">
        <v>0</v>
      </c>
      <c r="I36" s="47">
        <v>0</v>
      </c>
      <c r="J36" s="48"/>
    </row>
    <row r="37" spans="1:17">
      <c r="A37" s="18" t="s">
        <v>35</v>
      </c>
      <c r="B37" s="44"/>
      <c r="C37" s="225"/>
      <c r="D37" s="225"/>
      <c r="E37" s="45">
        <v>0</v>
      </c>
      <c r="F37" s="46">
        <v>0</v>
      </c>
      <c r="G37" s="46">
        <v>0</v>
      </c>
      <c r="H37" s="46">
        <v>0</v>
      </c>
      <c r="I37" s="47">
        <v>0</v>
      </c>
      <c r="J37" s="48"/>
    </row>
    <row r="38" spans="1:17">
      <c r="A38" s="18" t="s">
        <v>36</v>
      </c>
      <c r="B38" s="44">
        <v>11</v>
      </c>
      <c r="C38" s="225">
        <v>14</v>
      </c>
      <c r="D38" s="225">
        <v>13</v>
      </c>
      <c r="E38" s="45">
        <f>+'Working Fall 2023'!AE4</f>
        <v>11.62</v>
      </c>
      <c r="F38" s="45">
        <v>9</v>
      </c>
      <c r="G38" s="45">
        <v>9</v>
      </c>
      <c r="H38" s="45">
        <v>9</v>
      </c>
      <c r="I38" s="45">
        <v>9</v>
      </c>
      <c r="J38" s="48"/>
    </row>
    <row r="39" spans="1:17">
      <c r="A39" s="18" t="s">
        <v>37</v>
      </c>
      <c r="B39" s="44"/>
      <c r="C39" s="225"/>
      <c r="D39" s="225"/>
      <c r="E39" s="45"/>
      <c r="F39" s="45"/>
      <c r="G39" s="45"/>
      <c r="H39" s="45"/>
      <c r="I39" s="45"/>
      <c r="J39" s="48"/>
    </row>
    <row r="40" spans="1:17">
      <c r="A40" s="18" t="s">
        <v>38</v>
      </c>
      <c r="B40" s="44"/>
      <c r="C40" s="225"/>
      <c r="D40" s="225"/>
      <c r="E40" s="45"/>
      <c r="F40" s="45"/>
      <c r="G40" s="45"/>
      <c r="H40" s="45"/>
      <c r="I40" s="45"/>
      <c r="J40" s="48"/>
    </row>
    <row r="41" spans="1:17">
      <c r="A41" s="18" t="s">
        <v>39</v>
      </c>
      <c r="B41" s="44">
        <f>-92665+35364</f>
        <v>-57301</v>
      </c>
      <c r="C41" s="225">
        <v>-4419</v>
      </c>
      <c r="D41" s="225">
        <v>0</v>
      </c>
      <c r="E41" s="45"/>
      <c r="F41" s="45">
        <f t="shared" ref="F41:H41" si="5">+E41</f>
        <v>0</v>
      </c>
      <c r="G41" s="45">
        <f t="shared" si="5"/>
        <v>0</v>
      </c>
      <c r="H41" s="45">
        <f t="shared" si="5"/>
        <v>0</v>
      </c>
      <c r="I41" s="45"/>
      <c r="J41" s="48"/>
      <c r="K41" s="209"/>
    </row>
    <row r="42" spans="1:17">
      <c r="A42" s="18" t="s">
        <v>40</v>
      </c>
      <c r="B42" s="44"/>
      <c r="C42" s="225"/>
      <c r="D42" s="225"/>
      <c r="E42" s="45">
        <v>0</v>
      </c>
      <c r="F42" s="46">
        <v>0</v>
      </c>
      <c r="G42" s="46">
        <v>0</v>
      </c>
      <c r="H42" s="46">
        <v>0</v>
      </c>
      <c r="I42" s="47">
        <v>0</v>
      </c>
      <c r="J42" s="48"/>
      <c r="K42" s="209"/>
    </row>
    <row r="43" spans="1:17">
      <c r="A43" s="18" t="s">
        <v>41</v>
      </c>
      <c r="B43" s="44"/>
      <c r="C43" s="225"/>
      <c r="D43" s="225"/>
      <c r="E43" s="45">
        <v>0</v>
      </c>
      <c r="F43" s="46">
        <v>0</v>
      </c>
      <c r="G43" s="46">
        <v>0</v>
      </c>
      <c r="H43" s="46">
        <v>0</v>
      </c>
      <c r="I43" s="47">
        <v>0</v>
      </c>
      <c r="J43" s="48"/>
    </row>
    <row r="44" spans="1:17">
      <c r="A44" s="18" t="s">
        <v>42</v>
      </c>
      <c r="B44" s="50">
        <f>SUM(B34:B43)</f>
        <v>948871</v>
      </c>
      <c r="C44" s="226">
        <f>SUM(C34:C43)</f>
        <v>2126483</v>
      </c>
      <c r="D44" s="226">
        <f>SUM(D34:D43)</f>
        <v>1308590.1499999999</v>
      </c>
      <c r="E44" s="51">
        <f t="shared" ref="E44:I44" si="6">SUM(E34:E43)</f>
        <v>597930.14</v>
      </c>
      <c r="F44" s="51">
        <f t="shared" si="6"/>
        <v>452078.56</v>
      </c>
      <c r="G44" s="51">
        <f t="shared" si="6"/>
        <v>452078.56</v>
      </c>
      <c r="H44" s="51">
        <f t="shared" si="6"/>
        <v>452078.56</v>
      </c>
      <c r="I44" s="51">
        <f t="shared" si="6"/>
        <v>452078.56</v>
      </c>
      <c r="J44" s="48"/>
    </row>
    <row r="45" spans="1:17">
      <c r="A45" s="18"/>
      <c r="B45" s="62"/>
      <c r="C45" s="228"/>
      <c r="D45" s="228"/>
      <c r="E45" s="63"/>
      <c r="F45" s="64"/>
      <c r="G45" s="64"/>
      <c r="H45" s="64"/>
      <c r="I45" s="65"/>
      <c r="J45" s="48"/>
    </row>
    <row r="46" spans="1:17">
      <c r="A46" s="18"/>
      <c r="B46" s="62"/>
      <c r="C46" s="228"/>
      <c r="D46" s="228"/>
      <c r="E46" s="63"/>
      <c r="F46" s="64"/>
      <c r="G46" s="64"/>
      <c r="H46" s="64"/>
      <c r="I46" s="65"/>
      <c r="J46" s="48"/>
    </row>
    <row r="47" spans="1:17">
      <c r="A47" s="18" t="s">
        <v>43</v>
      </c>
      <c r="B47" s="62"/>
      <c r="C47" s="228"/>
      <c r="D47" s="228"/>
      <c r="E47" s="63"/>
      <c r="F47" s="64"/>
      <c r="G47" s="64"/>
      <c r="H47" s="64"/>
      <c r="I47" s="65"/>
      <c r="J47" s="48"/>
    </row>
    <row r="48" spans="1:17">
      <c r="A48" s="18" t="s">
        <v>44</v>
      </c>
      <c r="B48" s="62"/>
      <c r="C48" s="228"/>
      <c r="D48" s="228"/>
      <c r="E48" s="63"/>
      <c r="F48" s="64"/>
      <c r="G48" s="64"/>
      <c r="H48" s="64"/>
      <c r="I48" s="65"/>
      <c r="J48" s="48"/>
    </row>
    <row r="49" spans="1:10">
      <c r="A49" s="18" t="s">
        <v>45</v>
      </c>
      <c r="B49" s="66">
        <f>+B31+B44</f>
        <v>151318.65000000037</v>
      </c>
      <c r="C49" s="229">
        <f>+C31+C44</f>
        <v>350588.12999999989</v>
      </c>
      <c r="D49" s="229">
        <f>+D31+D44</f>
        <v>-204528.64000000013</v>
      </c>
      <c r="E49" s="63">
        <f>E31+E44</f>
        <v>-6471.9999999998836</v>
      </c>
      <c r="F49" s="64">
        <f>F31+F44</f>
        <v>-65111.443100000091</v>
      </c>
      <c r="G49" s="64">
        <f>G31+G44</f>
        <v>129356.26872700005</v>
      </c>
      <c r="H49" s="64">
        <f>H31+H44</f>
        <v>327765.31705081015</v>
      </c>
      <c r="I49" s="65">
        <f>I31+I44</f>
        <v>465376.22998053458</v>
      </c>
      <c r="J49" s="48"/>
    </row>
    <row r="50" spans="1:10">
      <c r="A50" s="18"/>
      <c r="B50" s="62"/>
      <c r="C50" s="228"/>
      <c r="D50" s="228"/>
      <c r="E50" s="63"/>
      <c r="F50" s="64"/>
      <c r="G50" s="64"/>
      <c r="H50" s="64"/>
      <c r="I50" s="65"/>
      <c r="J50" s="48"/>
    </row>
    <row r="51" spans="1:10">
      <c r="A51" s="18" t="s">
        <v>46</v>
      </c>
      <c r="B51" s="62">
        <v>92187</v>
      </c>
      <c r="C51" s="228">
        <f>+B53</f>
        <v>144084</v>
      </c>
      <c r="D51" s="228">
        <f>+C53</f>
        <v>104392</v>
      </c>
      <c r="E51" s="63">
        <f>+D53</f>
        <v>72206.5</v>
      </c>
      <c r="F51" s="64">
        <f>E53</f>
        <v>65734.500000000116</v>
      </c>
      <c r="G51" s="64">
        <f>F53</f>
        <v>623.05690000002505</v>
      </c>
      <c r="H51" s="64">
        <f>G53</f>
        <v>129979.32562700007</v>
      </c>
      <c r="I51" s="65">
        <f>H53</f>
        <v>457744.64267781022</v>
      </c>
      <c r="J51" s="48"/>
    </row>
    <row r="52" spans="1:10">
      <c r="A52" s="18"/>
      <c r="B52" s="62"/>
      <c r="C52" s="228"/>
      <c r="D52" s="228"/>
      <c r="E52" s="63"/>
      <c r="F52" s="64"/>
      <c r="G52" s="64"/>
      <c r="H52" s="64"/>
      <c r="I52" s="65"/>
    </row>
    <row r="53" spans="1:10" ht="12" thickBot="1">
      <c r="A53" s="18" t="s">
        <v>47</v>
      </c>
      <c r="B53" s="67">
        <v>144084</v>
      </c>
      <c r="C53" s="230">
        <v>104392</v>
      </c>
      <c r="D53" s="230">
        <v>72206.5</v>
      </c>
      <c r="E53" s="68">
        <f t="shared" ref="E53:H53" si="7">+E49+E51</f>
        <v>65734.500000000116</v>
      </c>
      <c r="F53" s="69">
        <f t="shared" si="7"/>
        <v>623.05690000002505</v>
      </c>
      <c r="G53" s="69">
        <f t="shared" si="7"/>
        <v>129979.32562700007</v>
      </c>
      <c r="H53" s="69">
        <f t="shared" si="7"/>
        <v>457744.64267781022</v>
      </c>
      <c r="I53" s="70">
        <f>+I49+I52</f>
        <v>465376.22998053458</v>
      </c>
    </row>
    <row r="54" spans="1:10">
      <c r="A54" s="18"/>
      <c r="B54" s="54"/>
      <c r="C54" s="54"/>
      <c r="D54" s="54"/>
      <c r="E54" s="54"/>
      <c r="F54" s="54"/>
      <c r="G54" s="54"/>
      <c r="H54" s="54"/>
      <c r="I54" s="54"/>
    </row>
    <row r="55" spans="1:10" ht="12">
      <c r="A55" s="35" t="s">
        <v>48</v>
      </c>
      <c r="B55" s="71">
        <v>0</v>
      </c>
      <c r="C55" s="71">
        <v>0</v>
      </c>
      <c r="D55" s="71">
        <v>0</v>
      </c>
      <c r="E55" s="54">
        <v>0</v>
      </c>
      <c r="F55" s="54">
        <v>0</v>
      </c>
      <c r="G55" s="54">
        <v>0</v>
      </c>
      <c r="H55" s="54">
        <v>0</v>
      </c>
      <c r="I55" s="54">
        <v>0</v>
      </c>
    </row>
    <row r="56" spans="1:10" ht="12">
      <c r="A56" s="35"/>
      <c r="B56" s="71">
        <v>0</v>
      </c>
      <c r="C56" s="71">
        <v>0</v>
      </c>
      <c r="D56" s="71">
        <v>0</v>
      </c>
      <c r="E56" s="54">
        <v>0</v>
      </c>
      <c r="F56" s="54">
        <v>0</v>
      </c>
      <c r="G56" s="54">
        <v>0</v>
      </c>
      <c r="H56" s="54">
        <v>0</v>
      </c>
      <c r="I56" s="54">
        <v>0</v>
      </c>
    </row>
    <row r="57" spans="1:10">
      <c r="A57" s="18" t="s">
        <v>49</v>
      </c>
      <c r="B57" s="72">
        <v>0</v>
      </c>
      <c r="C57" s="71">
        <v>0</v>
      </c>
      <c r="D57" s="71">
        <v>0</v>
      </c>
      <c r="E57" s="73">
        <v>0</v>
      </c>
      <c r="F57" s="73">
        <v>0</v>
      </c>
      <c r="G57" s="73">
        <v>0</v>
      </c>
      <c r="H57" s="73">
        <v>0</v>
      </c>
      <c r="I57" s="73">
        <v>0</v>
      </c>
    </row>
    <row r="58" spans="1:10">
      <c r="A58" s="18" t="s">
        <v>50</v>
      </c>
      <c r="B58" s="72">
        <v>0</v>
      </c>
      <c r="C58" s="71">
        <v>0</v>
      </c>
      <c r="D58" s="71">
        <v>0</v>
      </c>
      <c r="E58" s="73">
        <v>0</v>
      </c>
      <c r="F58" s="73">
        <v>0</v>
      </c>
      <c r="G58" s="73">
        <v>0</v>
      </c>
      <c r="H58" s="73">
        <v>0</v>
      </c>
      <c r="I58" s="73">
        <v>0</v>
      </c>
    </row>
    <row r="59" spans="1:10">
      <c r="A59" s="18" t="s">
        <v>51</v>
      </c>
      <c r="B59" s="72">
        <v>0</v>
      </c>
      <c r="C59" s="71">
        <v>0</v>
      </c>
      <c r="D59" s="71">
        <v>0</v>
      </c>
      <c r="E59" s="73">
        <v>0</v>
      </c>
      <c r="F59" s="73">
        <v>0</v>
      </c>
      <c r="G59" s="73">
        <v>0</v>
      </c>
      <c r="H59" s="73">
        <v>0</v>
      </c>
      <c r="I59" s="73">
        <v>0</v>
      </c>
    </row>
    <row r="60" spans="1:10">
      <c r="A60" s="18" t="s">
        <v>52</v>
      </c>
      <c r="B60" s="72">
        <v>0</v>
      </c>
      <c r="C60" s="71">
        <v>0</v>
      </c>
      <c r="D60" s="71">
        <v>0</v>
      </c>
      <c r="E60" s="73">
        <v>0</v>
      </c>
      <c r="F60" s="73">
        <v>0</v>
      </c>
      <c r="G60" s="73">
        <v>0</v>
      </c>
      <c r="H60" s="73">
        <v>0</v>
      </c>
      <c r="I60" s="73">
        <v>0</v>
      </c>
    </row>
    <row r="61" spans="1:10">
      <c r="A61" s="18" t="s">
        <v>53</v>
      </c>
      <c r="B61" s="72">
        <v>0</v>
      </c>
      <c r="C61" s="71">
        <v>0</v>
      </c>
      <c r="D61" s="71">
        <v>0</v>
      </c>
      <c r="E61" s="73">
        <v>0</v>
      </c>
      <c r="F61" s="73">
        <v>0</v>
      </c>
      <c r="G61" s="73">
        <v>0</v>
      </c>
      <c r="H61" s="73">
        <v>0</v>
      </c>
      <c r="I61" s="73">
        <v>0</v>
      </c>
    </row>
    <row r="62" spans="1:10">
      <c r="A62" s="18" t="s">
        <v>54</v>
      </c>
      <c r="B62" s="72">
        <v>0</v>
      </c>
      <c r="C62" s="71">
        <v>0</v>
      </c>
      <c r="D62" s="71">
        <v>0</v>
      </c>
      <c r="E62" s="73">
        <v>0</v>
      </c>
      <c r="F62" s="73">
        <v>0</v>
      </c>
      <c r="G62" s="73">
        <v>0</v>
      </c>
      <c r="H62" s="73">
        <v>0</v>
      </c>
      <c r="I62" s="73">
        <v>0</v>
      </c>
    </row>
    <row r="63" spans="1:10">
      <c r="A63" s="18"/>
      <c r="B63" s="74"/>
      <c r="C63" s="75"/>
      <c r="D63" s="75"/>
      <c r="E63" s="74"/>
      <c r="F63" s="74"/>
      <c r="G63" s="74"/>
      <c r="H63" s="74"/>
      <c r="I63" s="74"/>
    </row>
    <row r="64" spans="1:10" ht="14.45" thickBot="1">
      <c r="A64" s="76" t="s">
        <v>55</v>
      </c>
      <c r="B64" s="74"/>
      <c r="C64" s="75"/>
      <c r="D64" s="75"/>
      <c r="E64" s="74"/>
      <c r="F64" s="74"/>
      <c r="G64" s="74"/>
      <c r="H64" s="74"/>
      <c r="I64" s="74"/>
    </row>
    <row r="65" spans="1:26" s="77" customFormat="1" ht="13.5" customHeight="1" thickBot="1">
      <c r="A65" s="35"/>
      <c r="B65" s="307" t="s">
        <v>11</v>
      </c>
      <c r="C65" s="308"/>
      <c r="D65" s="309"/>
      <c r="E65" s="310" t="s">
        <v>12</v>
      </c>
      <c r="F65" s="311"/>
      <c r="G65" s="311"/>
      <c r="H65" s="311"/>
      <c r="I65" s="312"/>
    </row>
    <row r="66" spans="1:26">
      <c r="A66" s="18"/>
      <c r="B66" s="22" t="s">
        <v>13</v>
      </c>
      <c r="C66" s="23" t="s">
        <v>13</v>
      </c>
      <c r="D66" s="24" t="s">
        <v>13</v>
      </c>
      <c r="E66" s="25" t="s">
        <v>13</v>
      </c>
      <c r="F66" s="26" t="s">
        <v>13</v>
      </c>
      <c r="G66" s="26" t="s">
        <v>13</v>
      </c>
      <c r="H66" s="26" t="s">
        <v>13</v>
      </c>
      <c r="I66" s="27" t="s">
        <v>13</v>
      </c>
    </row>
    <row r="67" spans="1:26" ht="12">
      <c r="A67" s="35" t="s">
        <v>56</v>
      </c>
      <c r="B67" s="28">
        <v>2022</v>
      </c>
      <c r="C67" s="29">
        <v>2023</v>
      </c>
      <c r="D67" s="30">
        <v>2024</v>
      </c>
      <c r="E67" s="31">
        <v>2025</v>
      </c>
      <c r="F67" s="32">
        <v>2026</v>
      </c>
      <c r="G67" s="33">
        <v>2027</v>
      </c>
      <c r="H67" s="33">
        <v>2028</v>
      </c>
      <c r="I67" s="34">
        <v>2029</v>
      </c>
    </row>
    <row r="68" spans="1:26">
      <c r="A68" s="18" t="s">
        <v>57</v>
      </c>
      <c r="B68" s="78">
        <v>230</v>
      </c>
      <c r="C68" s="78">
        <v>153</v>
      </c>
      <c r="D68" s="78">
        <v>140</v>
      </c>
      <c r="E68" s="78">
        <v>130</v>
      </c>
      <c r="F68" s="78">
        <f>+E68*1.1</f>
        <v>143</v>
      </c>
      <c r="G68" s="78">
        <f>+F68*1.1</f>
        <v>157.30000000000001</v>
      </c>
      <c r="H68" s="78">
        <f>+G68*1.1</f>
        <v>173.03000000000003</v>
      </c>
      <c r="I68" s="78">
        <f>+H68*1.1</f>
        <v>190.33300000000006</v>
      </c>
      <c r="K68" s="239"/>
      <c r="L68" s="239"/>
      <c r="M68" s="239"/>
      <c r="N68" s="239"/>
      <c r="O68" s="239"/>
      <c r="P68" s="239"/>
      <c r="Q68" s="239"/>
      <c r="R68" s="239"/>
      <c r="S68" s="239"/>
      <c r="T68" s="239"/>
      <c r="U68" s="239"/>
      <c r="V68" s="239"/>
      <c r="W68" s="239"/>
      <c r="X68" s="239"/>
      <c r="Y68" s="239"/>
      <c r="Z68" s="239"/>
    </row>
    <row r="69" spans="1:26">
      <c r="A69" s="18" t="s">
        <v>58</v>
      </c>
      <c r="B69" s="78">
        <v>25</v>
      </c>
      <c r="C69" s="78">
        <v>25</v>
      </c>
      <c r="D69" s="78">
        <v>25</v>
      </c>
      <c r="E69" s="78">
        <v>12</v>
      </c>
      <c r="F69" s="78">
        <v>25</v>
      </c>
      <c r="G69" s="78">
        <v>25</v>
      </c>
      <c r="H69" s="78">
        <v>25</v>
      </c>
      <c r="I69" s="78">
        <v>25</v>
      </c>
      <c r="K69" s="239"/>
      <c r="L69" s="239"/>
      <c r="M69" s="239"/>
      <c r="N69" s="239"/>
      <c r="O69" s="239"/>
      <c r="P69" s="239"/>
      <c r="Q69" s="239"/>
      <c r="R69" s="239"/>
      <c r="S69" s="239"/>
      <c r="T69" s="239"/>
      <c r="U69" s="239"/>
      <c r="V69" s="239"/>
      <c r="W69" s="239"/>
      <c r="X69" s="239"/>
      <c r="Y69" s="239"/>
      <c r="Z69" s="239"/>
    </row>
    <row r="70" spans="1:26">
      <c r="A70" s="18" t="s">
        <v>59</v>
      </c>
      <c r="B70" s="78">
        <v>3</v>
      </c>
      <c r="C70" s="78">
        <v>3</v>
      </c>
      <c r="D70" s="78">
        <v>3</v>
      </c>
      <c r="E70" s="78">
        <v>3</v>
      </c>
      <c r="F70" s="78">
        <v>3</v>
      </c>
      <c r="G70" s="78">
        <v>3</v>
      </c>
      <c r="H70" s="78">
        <v>3</v>
      </c>
      <c r="I70" s="78">
        <v>3</v>
      </c>
      <c r="K70" s="239"/>
      <c r="L70" s="239"/>
      <c r="M70" s="239"/>
      <c r="N70" s="239"/>
      <c r="O70" s="239"/>
      <c r="P70" s="239"/>
      <c r="Q70" s="239"/>
      <c r="R70" s="239"/>
      <c r="S70" s="239"/>
      <c r="T70" s="239"/>
      <c r="U70" s="239"/>
      <c r="V70" s="239"/>
      <c r="W70" s="239"/>
      <c r="X70" s="239"/>
      <c r="Y70" s="239"/>
      <c r="Z70" s="239"/>
    </row>
    <row r="71" spans="1:26" ht="12" thickBot="1">
      <c r="A71" s="18" t="s">
        <v>60</v>
      </c>
      <c r="B71" s="79">
        <v>1</v>
      </c>
      <c r="C71" s="79">
        <v>1</v>
      </c>
      <c r="D71" s="79">
        <v>1</v>
      </c>
      <c r="E71" s="79">
        <v>1</v>
      </c>
      <c r="F71" s="79">
        <v>1</v>
      </c>
      <c r="G71" s="79">
        <v>1</v>
      </c>
      <c r="H71" s="79">
        <v>1</v>
      </c>
      <c r="I71" s="79">
        <v>1</v>
      </c>
      <c r="K71" s="239"/>
      <c r="L71" s="239"/>
      <c r="M71" s="239"/>
      <c r="N71" s="239"/>
      <c r="O71" s="239"/>
      <c r="P71" s="239"/>
      <c r="Q71" s="239"/>
      <c r="R71" s="239"/>
      <c r="S71" s="239"/>
      <c r="T71" s="239"/>
      <c r="U71" s="239"/>
      <c r="V71" s="239"/>
      <c r="W71" s="239"/>
      <c r="X71" s="239"/>
      <c r="Y71" s="239"/>
      <c r="Z71" s="239"/>
    </row>
    <row r="72" spans="1:26">
      <c r="A72" s="18"/>
      <c r="B72" s="80"/>
      <c r="C72" s="80"/>
      <c r="E72" s="81"/>
      <c r="F72" s="81"/>
      <c r="G72" s="82"/>
      <c r="H72" s="82"/>
      <c r="I72" s="83"/>
      <c r="K72" s="239"/>
      <c r="L72" s="239"/>
      <c r="M72" s="239"/>
      <c r="N72" s="239"/>
      <c r="O72" s="239"/>
      <c r="P72" s="239"/>
      <c r="Q72" s="239"/>
      <c r="R72" s="239"/>
      <c r="S72" s="239"/>
      <c r="T72" s="239"/>
      <c r="U72" s="239"/>
      <c r="V72" s="239"/>
      <c r="W72" s="239"/>
      <c r="X72" s="239"/>
      <c r="Y72" s="239"/>
      <c r="Z72" s="239"/>
    </row>
    <row r="73" spans="1:26" ht="12.6" thickBot="1">
      <c r="A73" s="35" t="s">
        <v>61</v>
      </c>
      <c r="B73" s="80"/>
      <c r="C73" s="80"/>
      <c r="E73" s="81"/>
      <c r="F73" s="81"/>
      <c r="G73" s="82"/>
      <c r="H73" s="82"/>
      <c r="I73" s="83"/>
      <c r="K73" s="239"/>
      <c r="L73" s="239"/>
      <c r="M73" s="239"/>
      <c r="N73" s="239"/>
      <c r="O73" s="239"/>
      <c r="P73" s="239"/>
      <c r="Q73" s="239"/>
      <c r="R73" s="239"/>
      <c r="S73" s="239"/>
      <c r="T73" s="239"/>
      <c r="U73" s="239"/>
      <c r="V73" s="239"/>
      <c r="W73" s="239"/>
      <c r="X73" s="239"/>
      <c r="Y73" s="239"/>
      <c r="Z73" s="239"/>
    </row>
    <row r="74" spans="1:26">
      <c r="A74" s="18" t="s">
        <v>62</v>
      </c>
      <c r="B74" s="84">
        <v>149411.51</v>
      </c>
      <c r="C74" s="231">
        <v>150257.68</v>
      </c>
      <c r="D74" s="231">
        <f>+Sheet2!AD25</f>
        <v>154549.34</v>
      </c>
      <c r="E74" s="85">
        <f>+'Fall 2024 wk bud sub to sponsr'!U67</f>
        <v>84607.25</v>
      </c>
      <c r="F74" s="85">
        <f>84607.25+71500</f>
        <v>156107.25</v>
      </c>
      <c r="G74" s="85">
        <f>84607.25+71500</f>
        <v>156107.25</v>
      </c>
      <c r="H74" s="85">
        <f>14000*12</f>
        <v>168000</v>
      </c>
      <c r="I74" s="85">
        <f>14000*12</f>
        <v>168000</v>
      </c>
      <c r="K74" s="239"/>
      <c r="L74" s="239"/>
      <c r="M74" s="239"/>
      <c r="N74" s="239"/>
      <c r="O74" s="239"/>
      <c r="P74" s="239"/>
      <c r="Q74" s="239"/>
      <c r="R74" s="239"/>
      <c r="S74" s="239"/>
      <c r="T74" s="239"/>
      <c r="U74" s="239"/>
      <c r="V74" s="239"/>
      <c r="W74" s="239"/>
      <c r="X74" s="239"/>
      <c r="Y74" s="239"/>
      <c r="Z74" s="239"/>
    </row>
    <row r="75" spans="1:26">
      <c r="A75" s="18" t="s">
        <v>63</v>
      </c>
      <c r="B75" s="86">
        <v>60816.99</v>
      </c>
      <c r="C75" s="232">
        <f>13873.69-698.99+22020.24+8982.28</f>
        <v>44177.22</v>
      </c>
      <c r="D75" s="232">
        <f>+Sheet2!AD22+Sheet2!AD30+Sheet2!AD31+Sheet2!AD36+Sheet2!AD37+Sheet2!AD38</f>
        <v>57509.810000000005</v>
      </c>
      <c r="E75" s="87">
        <f>+'Fall 2024 wk bud sub to sponsr'!U63+'Fall 2024 wk bud sub to sponsr'!U70+'Fall 2024 wk bud sub to sponsr'!U73+'Fall 2024 wk bud sub to sponsr'!U74+'Fall 2024 wk bud sub to sponsr'!U76</f>
        <v>45469.51</v>
      </c>
      <c r="F75" s="87">
        <v>45469.51</v>
      </c>
      <c r="G75" s="87">
        <v>45469.51</v>
      </c>
      <c r="H75" s="87">
        <v>45469.51</v>
      </c>
      <c r="I75" s="87">
        <v>45469.51</v>
      </c>
      <c r="K75" s="239"/>
      <c r="L75" s="239"/>
      <c r="M75" s="239"/>
      <c r="N75" s="239"/>
      <c r="O75" s="239"/>
      <c r="P75" s="239"/>
      <c r="Q75" s="239"/>
      <c r="R75" s="239"/>
      <c r="S75" s="239"/>
      <c r="T75" s="239"/>
      <c r="U75" s="239"/>
      <c r="V75" s="239"/>
      <c r="W75" s="239"/>
      <c r="X75" s="239"/>
      <c r="Y75" s="239"/>
      <c r="Z75" s="239"/>
    </row>
    <row r="76" spans="1:26">
      <c r="A76" s="18" t="s">
        <v>64</v>
      </c>
      <c r="B76" s="86">
        <v>39787.760000000002</v>
      </c>
      <c r="C76" s="232">
        <v>39461.08</v>
      </c>
      <c r="D76" s="232">
        <f>+Sheet2!AD21+Sheet2!AD23+Sheet2!AD24+Sheet2!AD26+Sheet2!AD27</f>
        <v>78716.23000000001</v>
      </c>
      <c r="E76" s="87">
        <f>+'Fall 2024 wk bud sub to sponsr'!U60+'Fall 2024 wk bud sub to sponsr'!U62+'Fall 2024 wk bud sub to sponsr'!U63+'Fall 2024 wk bud sub to sponsr'!U64+'Fall 2024 wk bud sub to sponsr'!U65+'Fall 2024 wk bud sub to sponsr'!U66</f>
        <v>43409.16</v>
      </c>
      <c r="F76" s="87">
        <v>43409.16</v>
      </c>
      <c r="G76" s="87">
        <v>43409.16</v>
      </c>
      <c r="H76" s="87">
        <v>43409.16</v>
      </c>
      <c r="I76" s="87">
        <v>43409.16</v>
      </c>
      <c r="K76" s="239"/>
      <c r="L76" s="239"/>
      <c r="M76" s="239"/>
      <c r="N76" s="239"/>
      <c r="O76" s="239"/>
      <c r="P76" s="239"/>
      <c r="Q76" s="239"/>
      <c r="R76" s="239"/>
      <c r="S76" s="239"/>
      <c r="T76" s="239"/>
      <c r="U76" s="239"/>
      <c r="V76" s="239"/>
      <c r="W76" s="239"/>
      <c r="X76" s="239"/>
      <c r="Y76" s="239"/>
      <c r="Z76" s="239"/>
    </row>
    <row r="77" spans="1:26">
      <c r="A77" s="18" t="s">
        <v>65</v>
      </c>
      <c r="B77" s="86">
        <v>40400.79</v>
      </c>
      <c r="C77" s="232">
        <v>32263.200000000001</v>
      </c>
      <c r="D77" s="232">
        <f>+Sheet2!AD41</f>
        <v>33688.6</v>
      </c>
      <c r="E77" s="87">
        <f>+'Working Fall 2023'!AE70</f>
        <v>33000</v>
      </c>
      <c r="F77" s="87">
        <v>33000</v>
      </c>
      <c r="G77" s="87">
        <v>33000</v>
      </c>
      <c r="H77" s="87">
        <v>33000</v>
      </c>
      <c r="I77" s="87">
        <v>33000</v>
      </c>
      <c r="K77" s="239"/>
      <c r="L77" s="239"/>
      <c r="M77" s="239"/>
      <c r="N77" s="239"/>
      <c r="O77" s="239"/>
      <c r="P77" s="239"/>
      <c r="Q77" s="239"/>
      <c r="R77" s="239"/>
      <c r="S77" s="239"/>
      <c r="T77" s="239"/>
      <c r="U77" s="239"/>
      <c r="V77" s="239"/>
      <c r="W77" s="239"/>
      <c r="X77" s="239"/>
      <c r="Y77" s="239"/>
      <c r="Z77" s="239"/>
    </row>
    <row r="78" spans="1:26">
      <c r="A78" s="18" t="s">
        <v>66</v>
      </c>
      <c r="B78" s="86">
        <v>120000</v>
      </c>
      <c r="C78" s="232">
        <v>140000</v>
      </c>
      <c r="D78" s="232">
        <f>+Sheet2!AD12</f>
        <v>137500</v>
      </c>
      <c r="E78" s="87">
        <v>0</v>
      </c>
      <c r="F78" s="87">
        <v>0</v>
      </c>
      <c r="G78" s="87">
        <v>0</v>
      </c>
      <c r="H78" s="87">
        <v>0</v>
      </c>
      <c r="I78" s="87">
        <v>0</v>
      </c>
      <c r="K78" s="239"/>
      <c r="L78" s="239"/>
      <c r="M78" s="239"/>
      <c r="N78" s="239"/>
      <c r="O78" s="239"/>
      <c r="P78" s="239"/>
      <c r="Q78" s="239"/>
      <c r="R78" s="239"/>
      <c r="S78" s="239"/>
      <c r="T78" s="239"/>
      <c r="U78" s="239"/>
      <c r="V78" s="239"/>
      <c r="W78" s="239"/>
      <c r="X78" s="239"/>
      <c r="Y78" s="239"/>
      <c r="Z78" s="239"/>
    </row>
    <row r="79" spans="1:26">
      <c r="A79" s="18" t="s">
        <v>67</v>
      </c>
      <c r="B79" s="86">
        <v>50748.27</v>
      </c>
      <c r="C79" s="232">
        <v>45602.720000000001</v>
      </c>
      <c r="D79" s="232">
        <f>+Sheet2!AD13</f>
        <v>50589.37</v>
      </c>
      <c r="E79" s="87">
        <f>+'Fall 2024 wk bud sub to sponsr'!U54</f>
        <v>41956.37</v>
      </c>
      <c r="F79" s="87">
        <v>41956.37</v>
      </c>
      <c r="G79" s="87">
        <v>41956.37</v>
      </c>
      <c r="H79" s="87">
        <v>41956.37</v>
      </c>
      <c r="I79" s="87">
        <v>41956.37</v>
      </c>
      <c r="K79" s="239"/>
      <c r="L79" s="239"/>
      <c r="M79" s="239"/>
      <c r="N79" s="239"/>
      <c r="O79" s="239"/>
      <c r="P79" s="239"/>
      <c r="Q79" s="240"/>
      <c r="R79" s="239"/>
      <c r="S79" s="239"/>
      <c r="T79" s="239"/>
      <c r="U79" s="239"/>
      <c r="V79" s="239"/>
      <c r="W79" s="239"/>
      <c r="X79" s="239"/>
      <c r="Y79" s="239"/>
      <c r="Z79" s="239"/>
    </row>
    <row r="80" spans="1:26">
      <c r="A80" s="18" t="s">
        <v>68</v>
      </c>
      <c r="B80" s="86">
        <v>44211.34</v>
      </c>
      <c r="C80" s="232">
        <v>49441.5</v>
      </c>
      <c r="D80" s="232">
        <f>+Sheet2!AD16</f>
        <v>49137.31</v>
      </c>
      <c r="E80" s="87">
        <f>+'Fall 2024 wk bud sub to sponsr'!U57</f>
        <v>38000</v>
      </c>
      <c r="F80" s="87">
        <f>38000+7000</f>
        <v>45000</v>
      </c>
      <c r="G80" s="87">
        <v>45000</v>
      </c>
      <c r="H80" s="87">
        <v>45000</v>
      </c>
      <c r="I80" s="87">
        <v>45000</v>
      </c>
      <c r="K80" s="239"/>
      <c r="L80" s="239"/>
      <c r="M80" s="239"/>
      <c r="N80" s="239"/>
      <c r="O80" s="239"/>
      <c r="P80" s="239"/>
      <c r="Q80" s="239"/>
      <c r="R80" s="239"/>
      <c r="S80" s="239"/>
      <c r="T80" s="239"/>
      <c r="U80" s="239"/>
      <c r="V80" s="239"/>
      <c r="W80" s="239"/>
      <c r="X80" s="239"/>
      <c r="Y80" s="239"/>
      <c r="Z80" s="239"/>
    </row>
    <row r="81" spans="1:26">
      <c r="A81" s="18" t="s">
        <v>69</v>
      </c>
      <c r="B81" s="86"/>
      <c r="C81" s="232"/>
      <c r="D81" s="232"/>
      <c r="E81" s="87"/>
      <c r="F81" s="87"/>
      <c r="G81" s="87"/>
      <c r="H81" s="87"/>
      <c r="I81" s="87"/>
      <c r="K81" s="239"/>
      <c r="L81" s="239"/>
      <c r="M81" s="239"/>
      <c r="N81" s="239"/>
      <c r="O81" s="239"/>
      <c r="P81" s="239"/>
      <c r="Q81" s="239"/>
      <c r="R81" s="239"/>
      <c r="S81" s="239"/>
      <c r="T81" s="239"/>
      <c r="U81" s="239"/>
      <c r="V81" s="239"/>
      <c r="W81" s="239"/>
      <c r="X81" s="239"/>
      <c r="Y81" s="239"/>
      <c r="Z81" s="239"/>
    </row>
    <row r="82" spans="1:26">
      <c r="A82" s="18" t="s">
        <v>70</v>
      </c>
      <c r="B82" s="86">
        <v>86390</v>
      </c>
      <c r="C82" s="232">
        <v>114104.23</v>
      </c>
      <c r="D82" s="232">
        <f>+Sheet2!AD40</f>
        <v>132280</v>
      </c>
      <c r="E82" s="87">
        <f>+'Fall 2024 wk bud sub to sponsr'!U79</f>
        <v>61000</v>
      </c>
      <c r="F82" s="87">
        <v>61000</v>
      </c>
      <c r="G82" s="87">
        <v>61000</v>
      </c>
      <c r="H82" s="87">
        <v>61000</v>
      </c>
      <c r="I82" s="87">
        <v>61000</v>
      </c>
      <c r="K82" s="239"/>
      <c r="L82" s="239"/>
      <c r="M82" s="239"/>
      <c r="N82" s="239"/>
      <c r="O82" s="239"/>
      <c r="P82" s="239"/>
      <c r="Q82" s="239"/>
      <c r="R82" s="239"/>
      <c r="S82" s="239"/>
      <c r="T82" s="239"/>
      <c r="U82" s="239"/>
      <c r="V82" s="239"/>
      <c r="W82" s="239"/>
      <c r="X82" s="239"/>
      <c r="Y82" s="239"/>
      <c r="Z82" s="239"/>
    </row>
    <row r="83" spans="1:26">
      <c r="A83" s="18" t="s">
        <v>71</v>
      </c>
      <c r="B83" s="88">
        <v>0</v>
      </c>
      <c r="C83" s="232">
        <v>0</v>
      </c>
      <c r="D83" s="232">
        <v>0</v>
      </c>
      <c r="E83" s="87">
        <f>+B83</f>
        <v>0</v>
      </c>
      <c r="F83" s="87">
        <v>0</v>
      </c>
      <c r="G83" s="87">
        <v>0</v>
      </c>
      <c r="H83" s="87">
        <v>0</v>
      </c>
      <c r="I83" s="87">
        <v>0</v>
      </c>
      <c r="K83" s="239"/>
      <c r="L83" s="239"/>
      <c r="M83" s="239"/>
      <c r="N83" s="239"/>
      <c r="O83" s="239"/>
      <c r="P83" s="239"/>
      <c r="Q83" s="239"/>
      <c r="R83" s="239"/>
      <c r="S83" s="239"/>
      <c r="T83" s="239"/>
      <c r="U83" s="239"/>
      <c r="V83" s="239"/>
      <c r="W83" s="239"/>
      <c r="X83" s="239"/>
      <c r="Y83" s="239"/>
      <c r="Z83" s="239"/>
    </row>
    <row r="84" spans="1:26">
      <c r="A84" s="18" t="s">
        <v>72</v>
      </c>
      <c r="B84" s="86">
        <v>20212.34</v>
      </c>
      <c r="C84" s="232">
        <v>19763.73</v>
      </c>
      <c r="D84" s="232">
        <f>+Sheet2!AD35</f>
        <v>26071.16</v>
      </c>
      <c r="E84" s="87">
        <f>+'Fall 2024 wk bud sub to sponsr'!U72</f>
        <v>6173.77</v>
      </c>
      <c r="F84" s="87">
        <v>6173.77</v>
      </c>
      <c r="G84" s="87">
        <v>6173.77</v>
      </c>
      <c r="H84" s="87">
        <v>6173.77</v>
      </c>
      <c r="I84" s="87">
        <v>6173.77</v>
      </c>
      <c r="K84" s="239"/>
      <c r="L84" s="239"/>
      <c r="M84" s="239"/>
      <c r="N84" s="239"/>
      <c r="O84" s="239"/>
      <c r="P84" s="239"/>
      <c r="Q84" s="239"/>
      <c r="R84" s="239"/>
      <c r="S84" s="239"/>
      <c r="T84" s="239"/>
      <c r="U84" s="239"/>
      <c r="V84" s="239"/>
      <c r="W84" s="239"/>
      <c r="X84" s="239"/>
      <c r="Y84" s="239"/>
      <c r="Z84" s="239"/>
    </row>
    <row r="85" spans="1:26" ht="14.45">
      <c r="A85" s="18" t="s">
        <v>73</v>
      </c>
      <c r="B85" s="86">
        <v>245005.69999999998</v>
      </c>
      <c r="C85" s="232">
        <f>1065669.7-867562-127559</f>
        <v>70548.699999999953</v>
      </c>
      <c r="D85" s="232">
        <f>+Sheet2!AD42-948138</f>
        <v>206771.11000000034</v>
      </c>
      <c r="E85" s="87">
        <f>592214-561863</f>
        <v>30351</v>
      </c>
      <c r="F85" s="87">
        <v>30351</v>
      </c>
      <c r="G85" s="87">
        <v>30351</v>
      </c>
      <c r="H85" s="87">
        <v>30351</v>
      </c>
      <c r="I85" s="87">
        <v>30351</v>
      </c>
      <c r="K85" s="239"/>
      <c r="L85" s="239"/>
      <c r="M85" s="239"/>
      <c r="N85" s="239"/>
      <c r="O85" s="239"/>
      <c r="P85" s="239"/>
      <c r="Q85" s="239"/>
      <c r="R85" s="241"/>
      <c r="S85" s="239"/>
      <c r="T85" s="239"/>
      <c r="U85" s="239"/>
      <c r="V85" s="239"/>
      <c r="W85" s="239"/>
      <c r="X85" s="239"/>
      <c r="Y85" s="239"/>
      <c r="Z85" s="239"/>
    </row>
    <row r="86" spans="1:26">
      <c r="A86" s="18" t="s">
        <v>74</v>
      </c>
      <c r="B86" s="86"/>
      <c r="C86" s="232"/>
      <c r="D86" s="232"/>
      <c r="E86" s="87"/>
      <c r="F86" s="87"/>
      <c r="G86" s="87"/>
      <c r="H86" s="87"/>
      <c r="I86" s="87"/>
      <c r="K86" s="239"/>
      <c r="L86" s="239"/>
      <c r="M86" s="239"/>
      <c r="N86" s="239"/>
      <c r="O86" s="239"/>
      <c r="P86" s="239"/>
      <c r="Q86" s="239"/>
      <c r="R86" s="239"/>
      <c r="S86" s="239"/>
      <c r="T86" s="239"/>
      <c r="U86" s="239"/>
      <c r="V86" s="239"/>
      <c r="W86" s="239"/>
      <c r="X86" s="239"/>
      <c r="Y86" s="239"/>
      <c r="Z86" s="239"/>
    </row>
    <row r="87" spans="1:26">
      <c r="A87" s="18" t="s">
        <v>75</v>
      </c>
      <c r="B87" s="86">
        <v>28053.5</v>
      </c>
      <c r="C87" s="232">
        <f>28255+8484.15</f>
        <v>36739.15</v>
      </c>
      <c r="D87" s="232">
        <f>+Sheet2!AD14+Sheet2!AD17</f>
        <v>29304.2</v>
      </c>
      <c r="E87" s="87">
        <f>+'Fall 2024 wk bud sub to sponsr'!U59+'Fall 2024 wk bud sub to sponsr'!U55</f>
        <v>54305.74</v>
      </c>
      <c r="F87" s="87">
        <v>54305.74</v>
      </c>
      <c r="G87" s="87">
        <v>54305.74</v>
      </c>
      <c r="H87" s="87">
        <v>54305.74</v>
      </c>
      <c r="I87" s="87">
        <v>54305.74</v>
      </c>
      <c r="K87" s="239"/>
      <c r="L87" s="239"/>
      <c r="M87" s="239"/>
      <c r="N87" s="239"/>
      <c r="O87" s="239"/>
      <c r="P87" s="239"/>
      <c r="Q87" s="239"/>
      <c r="R87" s="239"/>
      <c r="S87" s="239"/>
      <c r="T87" s="239"/>
      <c r="U87" s="239"/>
      <c r="V87" s="239"/>
      <c r="W87" s="239"/>
      <c r="X87" s="239"/>
      <c r="Y87" s="239"/>
      <c r="Z87" s="239"/>
    </row>
    <row r="88" spans="1:26">
      <c r="A88" s="18" t="s">
        <v>76</v>
      </c>
      <c r="B88" s="86">
        <v>29956.29</v>
      </c>
      <c r="C88" s="232">
        <v>41707.85</v>
      </c>
      <c r="D88" s="232">
        <f>+Sheet2!AD10+Sheet2!AD11</f>
        <v>44681.3</v>
      </c>
      <c r="E88" s="87">
        <f>+'Fall 2024 wk bud sub to sponsr'!U52</f>
        <v>11859.56</v>
      </c>
      <c r="F88" s="87">
        <v>11859.56</v>
      </c>
      <c r="G88" s="87">
        <v>11859.56</v>
      </c>
      <c r="H88" s="87">
        <v>11859.56</v>
      </c>
      <c r="I88" s="87">
        <v>11859.56</v>
      </c>
      <c r="K88" s="239"/>
      <c r="L88" s="239"/>
      <c r="M88" s="239"/>
      <c r="N88" s="239"/>
      <c r="O88" s="239"/>
      <c r="P88" s="239"/>
      <c r="Q88" s="239"/>
      <c r="R88" s="239"/>
      <c r="S88" s="239"/>
      <c r="T88" s="239"/>
      <c r="U88" s="239"/>
      <c r="V88" s="239"/>
      <c r="W88" s="239"/>
      <c r="X88" s="239"/>
      <c r="Y88" s="239"/>
      <c r="Z88" s="239"/>
    </row>
    <row r="89" spans="1:26">
      <c r="A89" s="18" t="s">
        <v>77</v>
      </c>
      <c r="B89" s="86"/>
      <c r="C89" s="232"/>
      <c r="D89" s="232"/>
      <c r="E89" s="87"/>
      <c r="F89" s="87"/>
      <c r="G89" s="87"/>
      <c r="H89" s="87"/>
      <c r="I89" s="87"/>
      <c r="K89" s="239"/>
      <c r="L89" s="239"/>
      <c r="M89" s="239"/>
      <c r="N89" s="239"/>
      <c r="O89" s="239"/>
      <c r="P89" s="239"/>
      <c r="Q89" s="239"/>
      <c r="R89" s="239"/>
      <c r="S89" s="239"/>
      <c r="T89" s="239"/>
      <c r="U89" s="239"/>
      <c r="V89" s="239"/>
      <c r="W89" s="239"/>
      <c r="X89" s="239"/>
      <c r="Y89" s="239"/>
      <c r="Z89" s="239"/>
    </row>
    <row r="90" spans="1:26">
      <c r="A90" s="18" t="s">
        <v>78</v>
      </c>
      <c r="B90" s="86">
        <v>170996.64</v>
      </c>
      <c r="C90" s="232">
        <v>141041.35</v>
      </c>
      <c r="D90" s="232">
        <f>+Sheet2!AD39</f>
        <v>152732.6</v>
      </c>
      <c r="E90" s="87">
        <f>+'Fall 2024 wk bud sub to sponsr'!U78</f>
        <v>94658.48000000001</v>
      </c>
      <c r="F90" s="87">
        <v>94658.48000000001</v>
      </c>
      <c r="G90" s="87">
        <v>94658.48000000001</v>
      </c>
      <c r="H90" s="87">
        <v>94658.48000000001</v>
      </c>
      <c r="I90" s="87">
        <v>94658.48000000001</v>
      </c>
    </row>
    <row r="91" spans="1:26">
      <c r="A91" s="18" t="s">
        <v>79</v>
      </c>
      <c r="B91" s="86">
        <v>13991.22</v>
      </c>
      <c r="C91" s="232">
        <v>13002.46</v>
      </c>
      <c r="D91" s="232">
        <f>+Sheet2!AD20+Sheet2!AD29+Sheet2!AD33+Sheet2!AD32+Sheet2!AD34</f>
        <v>1377.73</v>
      </c>
      <c r="E91" s="87">
        <f>+'Fall 2024 wk bud sub to sponsr'!U77</f>
        <v>47423.24</v>
      </c>
      <c r="F91" s="87">
        <f>47423.24-19000</f>
        <v>28423.239999999998</v>
      </c>
      <c r="G91" s="87">
        <v>28423.239999999998</v>
      </c>
      <c r="H91" s="87">
        <v>28423.239999999998</v>
      </c>
      <c r="I91" s="87">
        <v>28423.239999999998</v>
      </c>
    </row>
    <row r="92" spans="1:26" s="77" customFormat="1" ht="12.6" thickBot="1">
      <c r="A92" s="18" t="s">
        <v>80</v>
      </c>
      <c r="B92" s="89">
        <f>SUM(B74:B91)</f>
        <v>1099982.3499999999</v>
      </c>
      <c r="C92" s="233">
        <f>SUM(C74:C91)</f>
        <v>938110.86999999988</v>
      </c>
      <c r="D92" s="233">
        <f>SUM(D74:D91)</f>
        <v>1154908.7600000002</v>
      </c>
      <c r="E92" s="90">
        <f t="shared" ref="E92" si="8">SUM(E74:E91)</f>
        <v>592214.08000000007</v>
      </c>
      <c r="F92" s="90">
        <f>SUM(F74:F91)</f>
        <v>651714.08000000007</v>
      </c>
      <c r="G92" s="90">
        <f>SUM(G74:G91)</f>
        <v>651714.08000000007</v>
      </c>
      <c r="H92" s="90">
        <f>SUM(H74:H91)</f>
        <v>663606.83000000007</v>
      </c>
      <c r="I92" s="90">
        <f>SUM(I74:I91)</f>
        <v>663606.83000000007</v>
      </c>
    </row>
    <row r="93" spans="1:26" s="77" customFormat="1" ht="12">
      <c r="A93" s="91"/>
      <c r="B93" s="92"/>
      <c r="C93" s="93"/>
      <c r="D93" s="93"/>
      <c r="E93" s="94"/>
      <c r="F93" s="94"/>
      <c r="G93" s="94"/>
      <c r="H93" s="94"/>
      <c r="I93" s="95"/>
    </row>
    <row r="94" spans="1:26" s="77" customFormat="1" ht="12">
      <c r="A94" s="96"/>
      <c r="B94" s="97"/>
      <c r="C94" s="93"/>
      <c r="D94" s="93"/>
      <c r="E94" s="94"/>
      <c r="F94" s="94"/>
      <c r="G94" s="94"/>
      <c r="H94" s="94"/>
      <c r="I94" s="95"/>
    </row>
    <row r="95" spans="1:26" ht="12.6" thickBot="1">
      <c r="A95" s="35" t="s">
        <v>81</v>
      </c>
      <c r="B95" s="98"/>
      <c r="C95" s="244"/>
      <c r="D95" s="99"/>
      <c r="E95" s="207"/>
      <c r="I95" s="27"/>
    </row>
    <row r="96" spans="1:26">
      <c r="A96" s="18" t="s">
        <v>82</v>
      </c>
      <c r="B96" s="100">
        <v>57301</v>
      </c>
      <c r="C96" s="100">
        <f>-(C40+C41)</f>
        <v>4419</v>
      </c>
      <c r="D96" s="100">
        <f>-(D40+D41)</f>
        <v>0</v>
      </c>
      <c r="E96" s="101">
        <f t="shared" ref="E96:I96" si="9">-(E40+E41)</f>
        <v>0</v>
      </c>
      <c r="F96" s="102">
        <f t="shared" si="9"/>
        <v>0</v>
      </c>
      <c r="G96" s="102">
        <f t="shared" si="9"/>
        <v>0</v>
      </c>
      <c r="H96" s="102">
        <f t="shared" si="9"/>
        <v>0</v>
      </c>
      <c r="I96" s="103">
        <f t="shared" si="9"/>
        <v>0</v>
      </c>
    </row>
    <row r="97" spans="1:9">
      <c r="A97" s="18" t="s">
        <v>83</v>
      </c>
      <c r="B97" s="104">
        <f>IFERROR((#REF!+SUM(#REF!))/B96,0)</f>
        <v>0</v>
      </c>
      <c r="C97" s="105">
        <f>IFERROR((#REF!+SUM(#REF!))/C96,0)</f>
        <v>0</v>
      </c>
      <c r="D97" s="106">
        <f>IFERROR((B31+SUM(B34:B38))/D96,0)</f>
        <v>0</v>
      </c>
      <c r="E97" s="107">
        <f t="shared" ref="E97:I97" si="10">IFERROR((E31+SUM(E34:E38))/E96,0)</f>
        <v>0</v>
      </c>
      <c r="F97" s="108">
        <f t="shared" si="10"/>
        <v>0</v>
      </c>
      <c r="G97" s="108">
        <f t="shared" si="10"/>
        <v>0</v>
      </c>
      <c r="H97" s="108">
        <f t="shared" si="10"/>
        <v>0</v>
      </c>
      <c r="I97" s="109">
        <f t="shared" si="10"/>
        <v>0</v>
      </c>
    </row>
    <row r="98" spans="1:9">
      <c r="A98" s="18" t="s">
        <v>84</v>
      </c>
      <c r="B98" s="110">
        <f>IFERROR((#REF!/#REF!)-1,0)</f>
        <v>0</v>
      </c>
      <c r="C98" s="111">
        <f>IFERROR((#REF!/#REF!)-1,0)</f>
        <v>0</v>
      </c>
      <c r="D98" s="112">
        <f>IFERROR((B68/#REF!)-1,0)</f>
        <v>0</v>
      </c>
      <c r="E98" s="113">
        <f>IFERROR((E68/B68)-1,0)</f>
        <v>-0.43478260869565222</v>
      </c>
      <c r="F98" s="114">
        <f t="shared" ref="F98:I98" si="11">IFERROR((F68/E68)-1,0)</f>
        <v>0.10000000000000009</v>
      </c>
      <c r="G98" s="114">
        <f t="shared" si="11"/>
        <v>0.10000000000000009</v>
      </c>
      <c r="H98" s="114">
        <f t="shared" si="11"/>
        <v>0.10000000000000009</v>
      </c>
      <c r="I98" s="115">
        <f t="shared" si="11"/>
        <v>0.10000000000000009</v>
      </c>
    </row>
    <row r="99" spans="1:9">
      <c r="A99" s="18" t="s">
        <v>85</v>
      </c>
      <c r="B99" s="110">
        <f>IFERROR((#REF!/#REF!)-1,0)</f>
        <v>0</v>
      </c>
      <c r="C99" s="111">
        <f>IFERROR((#REF!/#REF!)-1,0)</f>
        <v>0</v>
      </c>
      <c r="D99" s="112">
        <f>IFERROR((B24/#REF!)-1,0)</f>
        <v>0</v>
      </c>
      <c r="E99" s="113">
        <f>IFERROR((E24/B24)-1,0)</f>
        <v>0</v>
      </c>
      <c r="F99" s="114">
        <f t="shared" ref="F99:I99" si="12">IFERROR((F24/E24)-1,0)</f>
        <v>0</v>
      </c>
      <c r="G99" s="114">
        <f t="shared" si="12"/>
        <v>0</v>
      </c>
      <c r="H99" s="114">
        <f t="shared" si="12"/>
        <v>0</v>
      </c>
      <c r="I99" s="115">
        <f t="shared" si="12"/>
        <v>0</v>
      </c>
    </row>
    <row r="100" spans="1:9">
      <c r="A100" s="18" t="s">
        <v>86</v>
      </c>
      <c r="B100" s="110">
        <f>IFERROR((#REF!/#REF!)-1,0)</f>
        <v>0</v>
      </c>
      <c r="C100" s="111">
        <f>IFERROR((#REF!/#REF!)-1,0)</f>
        <v>0</v>
      </c>
      <c r="D100" s="112">
        <f>IFERROR((B17/#REF!)-1,0)</f>
        <v>0</v>
      </c>
      <c r="E100" s="113">
        <f>IFERROR((E17/B17)-1,0)</f>
        <v>-0.30811158366137492</v>
      </c>
      <c r="F100" s="114">
        <f t="shared" ref="F100:I100" si="13">IFERROR((F17/E17)-1,0)</f>
        <v>0.10000000000000009</v>
      </c>
      <c r="G100" s="114">
        <f t="shared" si="13"/>
        <v>0.10000000000000009</v>
      </c>
      <c r="H100" s="114">
        <f t="shared" si="13"/>
        <v>0.10000000000000009</v>
      </c>
      <c r="I100" s="115">
        <f t="shared" si="13"/>
        <v>0.10000000000000009</v>
      </c>
    </row>
    <row r="101" spans="1:9">
      <c r="A101" s="18" t="s">
        <v>87</v>
      </c>
      <c r="B101" s="110">
        <f>IFERROR((#REF!/#REF!)-1,0)</f>
        <v>0</v>
      </c>
      <c r="C101" s="111">
        <f>IFERROR((#REF!/#REF!)-1,0)</f>
        <v>0</v>
      </c>
      <c r="D101" s="112">
        <f>IFERROR((B44/#REF!)-1,0)</f>
        <v>0</v>
      </c>
      <c r="E101" s="113">
        <f>IFERROR((E44/B44)-1,0)</f>
        <v>-0.36985097025833857</v>
      </c>
      <c r="F101" s="114">
        <f t="shared" ref="F101:I101" si="14">IFERROR((F44/E44)-1,0)</f>
        <v>-0.24392745948548444</v>
      </c>
      <c r="G101" s="114">
        <f t="shared" si="14"/>
        <v>0</v>
      </c>
      <c r="H101" s="114">
        <f t="shared" si="14"/>
        <v>0</v>
      </c>
      <c r="I101" s="115">
        <f t="shared" si="14"/>
        <v>0</v>
      </c>
    </row>
    <row r="102" spans="1:9" ht="12" thickBot="1">
      <c r="A102" s="116" t="s">
        <v>88</v>
      </c>
      <c r="B102" s="117">
        <f>IFERROR(#REF!/(#REF!+SUM(#REF!)/365),0)</f>
        <v>0</v>
      </c>
      <c r="C102" s="118">
        <f>IFERROR(#REF!/(#REF!+SUM(#REF!)/365),0)</f>
        <v>0</v>
      </c>
      <c r="D102" s="119">
        <f>IFERROR(B51/(B28+SUM(B40:B41)/365),0)</f>
        <v>3.4469589775629875E-2</v>
      </c>
      <c r="E102" s="120">
        <f t="shared" ref="E102:I102" si="15">IFERROR(E51/(E28+SUM(E40:E41)/365),0)</f>
        <v>3.7941305145376213E-2</v>
      </c>
      <c r="F102" s="121">
        <f t="shared" si="15"/>
        <v>3.3783295734274417E-2</v>
      </c>
      <c r="G102" s="121">
        <f t="shared" si="15"/>
        <v>3.2893581075490059E-4</v>
      </c>
      <c r="H102" s="121">
        <f t="shared" si="15"/>
        <v>7.014935089217586E-2</v>
      </c>
      <c r="I102" s="122">
        <f t="shared" si="15"/>
        <v>0.24243133803315497</v>
      </c>
    </row>
    <row r="103" spans="1:9">
      <c r="I103" s="26"/>
    </row>
    <row r="104" spans="1:9" ht="12.6" thickBot="1">
      <c r="A104" s="123" t="s">
        <v>89</v>
      </c>
      <c r="I104" s="26"/>
    </row>
    <row r="105" spans="1:9" ht="12">
      <c r="A105" s="124"/>
      <c r="B105" s="313" t="s">
        <v>90</v>
      </c>
      <c r="C105" s="314"/>
      <c r="D105" s="314"/>
      <c r="E105" s="314"/>
      <c r="F105" s="314"/>
      <c r="G105" s="315"/>
      <c r="H105" s="125"/>
      <c r="I105" s="125"/>
    </row>
    <row r="106" spans="1:9" ht="12.6" thickBot="1">
      <c r="A106" s="124"/>
      <c r="B106" s="316"/>
      <c r="C106" s="317"/>
      <c r="D106" s="317"/>
      <c r="E106" s="317"/>
      <c r="F106" s="317"/>
      <c r="G106" s="318"/>
      <c r="H106" s="125"/>
      <c r="I106" s="125"/>
    </row>
    <row r="107" spans="1:9" ht="28.9">
      <c r="A107" s="124"/>
      <c r="B107" s="126" t="s">
        <v>91</v>
      </c>
      <c r="C107" s="127" t="s">
        <v>92</v>
      </c>
      <c r="D107" s="127" t="s">
        <v>93</v>
      </c>
      <c r="E107" s="127" t="s">
        <v>94</v>
      </c>
      <c r="F107" s="128" t="s">
        <v>95</v>
      </c>
      <c r="G107" s="129" t="s">
        <v>96</v>
      </c>
      <c r="H107" s="130"/>
      <c r="I107" s="130"/>
    </row>
    <row r="108" spans="1:9" ht="14.45">
      <c r="A108" s="124"/>
      <c r="B108" s="131" t="s">
        <v>97</v>
      </c>
      <c r="C108" s="132">
        <v>0</v>
      </c>
      <c r="D108" s="132">
        <v>0</v>
      </c>
      <c r="E108" s="132">
        <v>0</v>
      </c>
      <c r="F108" s="132">
        <v>0</v>
      </c>
      <c r="G108" s="133"/>
      <c r="H108" s="134"/>
      <c r="I108" s="135"/>
    </row>
    <row r="109" spans="1:9" ht="14.45">
      <c r="A109" s="124"/>
      <c r="B109" s="136" t="s">
        <v>98</v>
      </c>
      <c r="C109" s="137"/>
      <c r="D109" s="137"/>
      <c r="E109" s="137"/>
      <c r="F109" s="138"/>
      <c r="G109" s="139"/>
      <c r="H109" s="134"/>
      <c r="I109" s="135"/>
    </row>
    <row r="110" spans="1:9" ht="14.45">
      <c r="A110" s="124"/>
      <c r="B110" s="131" t="s">
        <v>99</v>
      </c>
      <c r="C110" s="140">
        <v>30827.63</v>
      </c>
      <c r="D110" s="140">
        <f>-2417*3</f>
        <v>-7251</v>
      </c>
      <c r="E110" s="140">
        <f>-C110*0.06</f>
        <v>-1849.6578</v>
      </c>
      <c r="F110" s="138">
        <f>+C110+D110+E110</f>
        <v>21726.9722</v>
      </c>
      <c r="G110" s="133" t="s">
        <v>100</v>
      </c>
      <c r="H110" s="300"/>
      <c r="I110" s="301"/>
    </row>
    <row r="111" spans="1:9" ht="14.45">
      <c r="A111" s="124"/>
      <c r="B111" s="136"/>
      <c r="C111" s="137"/>
      <c r="D111" s="137"/>
      <c r="E111" s="137">
        <v>0</v>
      </c>
      <c r="F111" s="138">
        <v>0</v>
      </c>
      <c r="G111" s="141"/>
      <c r="H111" s="300"/>
      <c r="I111" s="301"/>
    </row>
    <row r="112" spans="1:9" ht="14.45">
      <c r="A112" s="124"/>
      <c r="B112" s="131" t="s">
        <v>101</v>
      </c>
      <c r="C112" s="140">
        <v>0</v>
      </c>
      <c r="D112" s="140">
        <v>0</v>
      </c>
      <c r="E112" s="140">
        <v>0</v>
      </c>
      <c r="F112" s="132">
        <v>0</v>
      </c>
      <c r="G112" s="133"/>
      <c r="H112" s="300"/>
      <c r="I112" s="301"/>
    </row>
    <row r="113" spans="1:9" ht="14.45">
      <c r="A113" s="124"/>
      <c r="B113" s="136" t="s">
        <v>102</v>
      </c>
      <c r="C113" s="137"/>
      <c r="D113" s="137"/>
      <c r="E113" s="137"/>
      <c r="F113" s="138">
        <f>+C113+D113+E113</f>
        <v>0</v>
      </c>
      <c r="G113" s="141"/>
      <c r="H113" s="300"/>
      <c r="I113" s="301"/>
    </row>
    <row r="114" spans="1:9" ht="43.9" thickBot="1">
      <c r="A114" s="124"/>
      <c r="B114" s="142" t="s">
        <v>103</v>
      </c>
      <c r="C114" s="143">
        <v>359111</v>
      </c>
      <c r="D114" s="143">
        <v>0</v>
      </c>
      <c r="E114" s="143">
        <v>0</v>
      </c>
      <c r="F114" s="144">
        <f>+C114</f>
        <v>359111</v>
      </c>
      <c r="G114" s="145" t="s">
        <v>104</v>
      </c>
      <c r="H114" s="300"/>
      <c r="I114" s="301"/>
    </row>
    <row r="115" spans="1:9" ht="15" thickBot="1">
      <c r="A115" s="124"/>
      <c r="B115" s="146"/>
      <c r="C115" s="147"/>
      <c r="D115" s="147"/>
      <c r="E115" s="147"/>
      <c r="F115" s="148"/>
      <c r="G115" s="149"/>
      <c r="H115" s="26"/>
      <c r="I115" s="26"/>
    </row>
    <row r="116" spans="1:9" ht="15" thickBot="1">
      <c r="A116" s="124"/>
      <c r="B116" s="150" t="s">
        <v>80</v>
      </c>
      <c r="C116" s="151">
        <f>SUM(C108:C114)</f>
        <v>389938.63</v>
      </c>
      <c r="D116" s="151">
        <f>SUM(D108:D114)</f>
        <v>-7251</v>
      </c>
      <c r="E116" s="151">
        <f>SUM(E108:E114)</f>
        <v>-1849.6578</v>
      </c>
      <c r="F116" s="152">
        <f>SUM(F108:F114)</f>
        <v>380837.97220000002</v>
      </c>
      <c r="G116" s="149"/>
      <c r="H116" s="26"/>
      <c r="I116" s="26"/>
    </row>
    <row r="117" spans="1:9">
      <c r="A117" s="124"/>
      <c r="E117" s="26"/>
      <c r="F117" s="26"/>
      <c r="G117" s="26"/>
      <c r="H117" s="26"/>
      <c r="I117" s="26"/>
    </row>
    <row r="118" spans="1:9" ht="12">
      <c r="A118" s="153" t="s">
        <v>89</v>
      </c>
      <c r="E118" s="26"/>
      <c r="F118" s="26"/>
      <c r="G118" s="26"/>
      <c r="H118" s="26"/>
      <c r="I118" s="26"/>
    </row>
    <row r="119" spans="1:9">
      <c r="A119" s="124" t="s">
        <v>105</v>
      </c>
      <c r="B119" s="4" t="s">
        <v>106</v>
      </c>
    </row>
    <row r="120" spans="1:9" ht="30" customHeight="1">
      <c r="A120" s="298" t="s">
        <v>107</v>
      </c>
      <c r="B120" s="297" t="s">
        <v>108</v>
      </c>
      <c r="C120" s="297"/>
      <c r="D120" s="297"/>
      <c r="E120" s="297"/>
      <c r="F120" s="297"/>
      <c r="G120" s="297"/>
      <c r="H120" s="297"/>
      <c r="I120" s="297"/>
    </row>
    <row r="121" spans="1:9" ht="35.1" customHeight="1">
      <c r="A121" s="298"/>
      <c r="B121" s="297" t="s">
        <v>109</v>
      </c>
      <c r="C121" s="297"/>
      <c r="D121" s="297"/>
      <c r="E121" s="297"/>
      <c r="F121" s="297"/>
      <c r="G121" s="297"/>
      <c r="H121" s="297"/>
      <c r="I121" s="297"/>
    </row>
    <row r="122" spans="1:9">
      <c r="A122" s="124" t="s">
        <v>110</v>
      </c>
      <c r="B122" s="4" t="s">
        <v>111</v>
      </c>
      <c r="F122" s="26"/>
      <c r="G122" s="26"/>
      <c r="H122" s="26"/>
      <c r="I122" s="26"/>
    </row>
    <row r="123" spans="1:9">
      <c r="A123" s="124" t="s">
        <v>112</v>
      </c>
      <c r="B123" s="4" t="s">
        <v>113</v>
      </c>
      <c r="F123" s="26"/>
      <c r="G123" s="26"/>
      <c r="H123" s="26"/>
      <c r="I123" s="26"/>
    </row>
    <row r="124" spans="1:9">
      <c r="A124" s="124"/>
      <c r="F124" s="26"/>
      <c r="G124" s="26"/>
      <c r="H124" s="26"/>
      <c r="I124" s="26"/>
    </row>
    <row r="125" spans="1:9">
      <c r="A125" s="124" t="s">
        <v>114</v>
      </c>
      <c r="B125" s="4" t="s">
        <v>115</v>
      </c>
      <c r="F125" s="26"/>
      <c r="G125" s="26"/>
      <c r="H125" s="26"/>
      <c r="I125" s="26"/>
    </row>
    <row r="126" spans="1:9">
      <c r="A126" s="124" t="s">
        <v>116</v>
      </c>
      <c r="B126" s="4" t="s">
        <v>117</v>
      </c>
      <c r="F126" s="26"/>
      <c r="G126" s="26"/>
      <c r="H126" s="26"/>
      <c r="I126" s="26"/>
    </row>
    <row r="127" spans="1:9" ht="50.1" customHeight="1">
      <c r="A127" s="124" t="s">
        <v>118</v>
      </c>
      <c r="B127" s="299" t="s">
        <v>119</v>
      </c>
      <c r="C127" s="299"/>
      <c r="D127" s="299"/>
      <c r="E127" s="299"/>
      <c r="F127" s="299"/>
      <c r="G127" s="299"/>
      <c r="H127" s="299"/>
      <c r="I127" s="299"/>
    </row>
    <row r="128" spans="1:9" ht="35.1" customHeight="1">
      <c r="A128" s="124" t="s">
        <v>120</v>
      </c>
      <c r="B128" s="297" t="s">
        <v>121</v>
      </c>
      <c r="C128" s="297"/>
      <c r="D128" s="297"/>
      <c r="E128" s="297"/>
      <c r="F128" s="297"/>
      <c r="G128" s="297"/>
      <c r="H128" s="297"/>
      <c r="I128" s="297"/>
    </row>
    <row r="129" spans="1:9">
      <c r="A129" s="124" t="s">
        <v>122</v>
      </c>
      <c r="B129" s="297" t="s">
        <v>123</v>
      </c>
      <c r="C129" s="297"/>
      <c r="D129" s="297"/>
      <c r="E129" s="297"/>
      <c r="F129" s="297"/>
      <c r="G129" s="297"/>
      <c r="H129" s="297"/>
      <c r="I129" s="297"/>
    </row>
    <row r="130" spans="1:9">
      <c r="A130" s="124" t="s">
        <v>124</v>
      </c>
      <c r="B130" s="297" t="s">
        <v>125</v>
      </c>
      <c r="C130" s="297"/>
      <c r="D130" s="297"/>
      <c r="E130" s="297"/>
      <c r="F130" s="297"/>
      <c r="G130" s="297"/>
      <c r="H130" s="297"/>
      <c r="I130" s="297"/>
    </row>
    <row r="131" spans="1:9">
      <c r="B131" s="4" t="s">
        <v>126</v>
      </c>
      <c r="E131" s="26"/>
      <c r="F131" s="26"/>
      <c r="G131" s="26"/>
      <c r="H131" s="26"/>
      <c r="I131" s="26"/>
    </row>
    <row r="132" spans="1:9">
      <c r="B132" s="4" t="s">
        <v>127</v>
      </c>
      <c r="E132" s="26"/>
      <c r="F132" s="26"/>
      <c r="G132" s="26"/>
      <c r="H132" s="26"/>
      <c r="I132" s="26"/>
    </row>
    <row r="133" spans="1:9">
      <c r="E133" s="26"/>
      <c r="F133" s="26"/>
      <c r="G133" s="26"/>
      <c r="H133" s="26"/>
      <c r="I133" s="26"/>
    </row>
    <row r="134" spans="1:9">
      <c r="A134" s="124" t="s">
        <v>128</v>
      </c>
      <c r="B134" s="155" t="s">
        <v>129</v>
      </c>
      <c r="C134" s="156"/>
      <c r="D134" s="156"/>
      <c r="E134" s="156"/>
      <c r="F134" s="156"/>
      <c r="G134" s="156"/>
      <c r="H134" s="156"/>
      <c r="I134" s="156"/>
    </row>
    <row r="135" spans="1:9">
      <c r="A135" s="124"/>
      <c r="B135" s="155"/>
      <c r="C135" s="156"/>
      <c r="D135" s="156"/>
      <c r="E135" s="156"/>
      <c r="F135" s="156"/>
      <c r="G135" s="156"/>
      <c r="H135" s="156"/>
      <c r="I135" s="156"/>
    </row>
    <row r="136" spans="1:9" ht="12">
      <c r="A136" s="4" t="s">
        <v>130</v>
      </c>
      <c r="B136" s="4" t="s">
        <v>131</v>
      </c>
      <c r="C136" s="6"/>
      <c r="D136" s="6"/>
      <c r="E136" s="6"/>
      <c r="F136" s="154"/>
      <c r="G136" s="154"/>
      <c r="H136" s="154"/>
      <c r="I136" s="154"/>
    </row>
    <row r="137" spans="1:9">
      <c r="A137" s="4" t="s">
        <v>132</v>
      </c>
      <c r="B137" s="4" t="s">
        <v>133</v>
      </c>
      <c r="E137" s="26"/>
      <c r="F137" s="26"/>
      <c r="G137" s="26"/>
      <c r="H137" s="26"/>
      <c r="I137" s="26"/>
    </row>
    <row r="138" spans="1:9">
      <c r="A138" s="4" t="s">
        <v>134</v>
      </c>
      <c r="B138" s="157">
        <f>+E28/E68</f>
        <v>14639.312307692308</v>
      </c>
      <c r="E138" s="26"/>
      <c r="F138" s="26"/>
      <c r="G138" s="26"/>
      <c r="H138" s="26"/>
      <c r="I138" s="26"/>
    </row>
    <row r="139" spans="1:9">
      <c r="A139" s="4" t="s">
        <v>135</v>
      </c>
      <c r="B139" s="157">
        <f>+F28/F68</f>
        <v>13606.778385314687</v>
      </c>
      <c r="E139" s="26"/>
      <c r="F139" s="26"/>
      <c r="G139" s="26"/>
      <c r="H139" s="26"/>
      <c r="I139" s="26"/>
    </row>
    <row r="140" spans="1:9">
      <c r="A140" s="4" t="s">
        <v>136</v>
      </c>
      <c r="B140" s="157">
        <f>+G28/G68</f>
        <v>12041.700749351558</v>
      </c>
      <c r="E140" s="26"/>
      <c r="F140" s="26"/>
      <c r="G140" s="26"/>
      <c r="H140" s="26"/>
      <c r="I140" s="26"/>
    </row>
    <row r="141" spans="1:9">
      <c r="A141" s="4" t="s">
        <v>137</v>
      </c>
      <c r="B141" s="157">
        <f>+H28/H68</f>
        <v>10708.514149044615</v>
      </c>
      <c r="E141" s="26"/>
      <c r="F141" s="26"/>
      <c r="G141" s="26"/>
      <c r="H141" s="26"/>
      <c r="I141" s="26"/>
    </row>
    <row r="142" spans="1:9">
      <c r="A142" s="4" t="s">
        <v>138</v>
      </c>
      <c r="B142" s="157">
        <f>+I28/I68</f>
        <v>9920.1997882945434</v>
      </c>
      <c r="E142" s="26"/>
      <c r="F142" s="26"/>
      <c r="G142" s="26"/>
      <c r="H142" s="26"/>
      <c r="I142" s="26"/>
    </row>
    <row r="143" spans="1:9">
      <c r="E143" s="26"/>
      <c r="F143" s="26"/>
      <c r="G143" s="26"/>
      <c r="H143" s="26"/>
      <c r="I143" s="26"/>
    </row>
    <row r="144" spans="1:9">
      <c r="E144" s="26"/>
      <c r="F144" s="26"/>
      <c r="G144" s="26"/>
      <c r="H144" s="26"/>
      <c r="I144" s="26"/>
    </row>
    <row r="145" spans="5:9">
      <c r="E145" s="26"/>
      <c r="F145" s="26"/>
      <c r="G145" s="26"/>
      <c r="H145" s="26"/>
      <c r="I145" s="26"/>
    </row>
    <row r="150" spans="5:9">
      <c r="E150" s="26"/>
      <c r="F150" s="26"/>
      <c r="G150" s="26"/>
      <c r="H150" s="26"/>
      <c r="I150" s="26"/>
    </row>
    <row r="151" spans="5:9">
      <c r="E151" s="26"/>
      <c r="F151" s="26"/>
      <c r="G151" s="26"/>
      <c r="H151" s="26"/>
      <c r="I151" s="26"/>
    </row>
    <row r="152" spans="5:9">
      <c r="E152" s="26"/>
      <c r="F152" s="26"/>
      <c r="G152" s="26"/>
      <c r="H152" s="26"/>
      <c r="I152" s="26"/>
    </row>
    <row r="153" spans="5:9">
      <c r="E153" s="26"/>
      <c r="F153" s="26"/>
      <c r="G153" s="26"/>
      <c r="H153" s="26"/>
      <c r="I153" s="26"/>
    </row>
    <row r="154" spans="5:9">
      <c r="E154" s="26"/>
      <c r="F154" s="26"/>
      <c r="G154" s="26"/>
      <c r="H154" s="26"/>
      <c r="I154" s="26"/>
    </row>
    <row r="155" spans="5:9">
      <c r="E155" s="26"/>
      <c r="F155" s="26"/>
      <c r="G155" s="26"/>
      <c r="H155" s="26"/>
      <c r="I155" s="26"/>
    </row>
    <row r="156" spans="5:9">
      <c r="E156" s="26"/>
      <c r="F156" s="26"/>
      <c r="G156" s="26"/>
      <c r="H156" s="26"/>
      <c r="I156" s="26"/>
    </row>
    <row r="157" spans="5:9">
      <c r="E157" s="26"/>
      <c r="F157" s="26"/>
      <c r="G157" s="26"/>
      <c r="H157" s="26"/>
      <c r="I157" s="26"/>
    </row>
    <row r="158" spans="5:9">
      <c r="E158" s="26"/>
      <c r="F158" s="26"/>
      <c r="G158" s="26"/>
      <c r="H158" s="26"/>
      <c r="I158" s="26"/>
    </row>
    <row r="159" spans="5:9">
      <c r="E159" s="26"/>
      <c r="F159" s="26"/>
      <c r="G159" s="26"/>
      <c r="H159" s="26"/>
      <c r="I159" s="26"/>
    </row>
    <row r="160" spans="5:9">
      <c r="E160" s="26"/>
      <c r="F160" s="26"/>
      <c r="G160" s="26"/>
      <c r="H160" s="26"/>
      <c r="I160" s="26"/>
    </row>
    <row r="161" spans="5:9">
      <c r="E161" s="26"/>
      <c r="F161" s="26"/>
      <c r="G161" s="26"/>
      <c r="H161" s="26"/>
      <c r="I161" s="26"/>
    </row>
    <row r="162" spans="5:9">
      <c r="E162" s="26"/>
      <c r="F162" s="26"/>
      <c r="G162" s="26"/>
      <c r="H162" s="26"/>
      <c r="I162" s="26"/>
    </row>
    <row r="163" spans="5:9">
      <c r="E163" s="26"/>
      <c r="F163" s="26"/>
      <c r="G163" s="26"/>
      <c r="H163" s="26"/>
      <c r="I163" s="26"/>
    </row>
    <row r="164" spans="5:9">
      <c r="E164" s="26"/>
      <c r="F164" s="26"/>
      <c r="G164" s="26"/>
      <c r="H164" s="26"/>
      <c r="I164" s="26"/>
    </row>
    <row r="165" spans="5:9">
      <c r="E165" s="26"/>
      <c r="F165" s="26"/>
      <c r="G165" s="26"/>
      <c r="H165" s="26"/>
      <c r="I165" s="26"/>
    </row>
    <row r="166" spans="5:9">
      <c r="E166" s="26"/>
      <c r="F166" s="26"/>
      <c r="G166" s="26"/>
      <c r="H166" s="26"/>
      <c r="I166" s="26"/>
    </row>
    <row r="167" spans="5:9">
      <c r="E167" s="26"/>
      <c r="F167" s="26"/>
      <c r="G167" s="26"/>
      <c r="H167" s="26"/>
      <c r="I167" s="26"/>
    </row>
    <row r="168" spans="5:9">
      <c r="E168" s="26"/>
      <c r="F168" s="26"/>
      <c r="G168" s="26"/>
      <c r="H168" s="26"/>
      <c r="I168" s="26"/>
    </row>
    <row r="169" spans="5:9">
      <c r="E169" s="26"/>
      <c r="F169" s="26"/>
      <c r="G169" s="26"/>
      <c r="H169" s="26"/>
      <c r="I169" s="26"/>
    </row>
    <row r="170" spans="5:9">
      <c r="E170" s="26"/>
      <c r="F170" s="26"/>
      <c r="G170" s="26"/>
      <c r="H170" s="26"/>
      <c r="I170" s="26"/>
    </row>
    <row r="171" spans="5:9">
      <c r="E171" s="26"/>
      <c r="F171" s="26"/>
      <c r="G171" s="26"/>
      <c r="H171" s="26"/>
      <c r="I171" s="26"/>
    </row>
    <row r="172" spans="5:9">
      <c r="E172" s="26"/>
      <c r="F172" s="26"/>
      <c r="G172" s="26"/>
      <c r="H172" s="26"/>
      <c r="I172" s="26"/>
    </row>
    <row r="173" spans="5:9">
      <c r="E173" s="26"/>
      <c r="F173" s="26"/>
      <c r="G173" s="26"/>
      <c r="H173" s="26"/>
      <c r="I173" s="26"/>
    </row>
    <row r="174" spans="5:9">
      <c r="E174" s="26"/>
      <c r="F174" s="26"/>
      <c r="G174" s="26"/>
      <c r="H174" s="26"/>
      <c r="I174" s="26"/>
    </row>
    <row r="175" spans="5:9">
      <c r="E175" s="26"/>
      <c r="F175" s="26"/>
      <c r="G175" s="26"/>
      <c r="H175" s="26"/>
      <c r="I175" s="26"/>
    </row>
    <row r="176" spans="5:9">
      <c r="E176" s="26"/>
      <c r="F176" s="26"/>
      <c r="G176" s="26"/>
      <c r="H176" s="26"/>
      <c r="I176" s="26"/>
    </row>
    <row r="177" spans="5:9">
      <c r="E177" s="26"/>
      <c r="F177" s="26"/>
      <c r="G177" s="26"/>
      <c r="H177" s="26"/>
      <c r="I177" s="26"/>
    </row>
    <row r="178" spans="5:9">
      <c r="E178" s="26"/>
      <c r="F178" s="26"/>
      <c r="G178" s="26"/>
      <c r="H178" s="26"/>
      <c r="I178" s="26"/>
    </row>
    <row r="179" spans="5:9">
      <c r="E179" s="26"/>
      <c r="F179" s="26"/>
      <c r="G179" s="26"/>
      <c r="H179" s="26"/>
      <c r="I179" s="26"/>
    </row>
    <row r="180" spans="5:9">
      <c r="E180" s="26"/>
      <c r="F180" s="26"/>
      <c r="G180" s="26"/>
      <c r="H180" s="26"/>
      <c r="I180" s="26"/>
    </row>
    <row r="181" spans="5:9">
      <c r="E181" s="26"/>
      <c r="F181" s="26"/>
      <c r="G181" s="26"/>
      <c r="H181" s="26"/>
      <c r="I181" s="26"/>
    </row>
    <row r="182" spans="5:9">
      <c r="E182" s="26"/>
      <c r="F182" s="26"/>
      <c r="G182" s="26"/>
      <c r="H182" s="26"/>
      <c r="I182" s="26"/>
    </row>
    <row r="183" spans="5:9">
      <c r="E183" s="26"/>
      <c r="F183" s="26"/>
      <c r="G183" s="26"/>
      <c r="H183" s="26"/>
      <c r="I183" s="26"/>
    </row>
    <row r="184" spans="5:9">
      <c r="E184" s="26"/>
      <c r="F184" s="26"/>
      <c r="G184" s="26"/>
      <c r="H184" s="26"/>
      <c r="I184" s="26"/>
    </row>
    <row r="185" spans="5:9">
      <c r="E185" s="26"/>
      <c r="F185" s="26"/>
      <c r="G185" s="26"/>
      <c r="H185" s="26"/>
      <c r="I185" s="26"/>
    </row>
    <row r="186" spans="5:9">
      <c r="E186" s="26"/>
      <c r="F186" s="26"/>
      <c r="G186" s="26"/>
      <c r="H186" s="26"/>
      <c r="I186" s="26"/>
    </row>
    <row r="187" spans="5:9">
      <c r="E187" s="26"/>
      <c r="F187" s="26"/>
      <c r="G187" s="26"/>
      <c r="H187" s="26"/>
      <c r="I187" s="26"/>
    </row>
    <row r="188" spans="5:9">
      <c r="E188" s="26"/>
      <c r="F188" s="26"/>
      <c r="G188" s="26"/>
      <c r="H188" s="26"/>
      <c r="I188" s="26"/>
    </row>
    <row r="189" spans="5:9">
      <c r="E189" s="26"/>
      <c r="F189" s="26"/>
      <c r="G189" s="26"/>
      <c r="H189" s="26"/>
      <c r="I189" s="26"/>
    </row>
    <row r="190" spans="5:9">
      <c r="E190" s="26"/>
      <c r="F190" s="26"/>
      <c r="G190" s="26"/>
      <c r="H190" s="26"/>
      <c r="I190" s="26"/>
    </row>
    <row r="191" spans="5:9">
      <c r="E191" s="26"/>
      <c r="F191" s="26"/>
      <c r="G191" s="26"/>
      <c r="H191" s="26"/>
      <c r="I191" s="26"/>
    </row>
    <row r="192" spans="5:9">
      <c r="E192" s="26"/>
      <c r="F192" s="26"/>
      <c r="G192" s="26"/>
      <c r="H192" s="26"/>
      <c r="I192" s="26"/>
    </row>
    <row r="193" spans="5:9">
      <c r="E193" s="26"/>
      <c r="F193" s="26"/>
      <c r="G193" s="26"/>
      <c r="H193" s="26"/>
      <c r="I193" s="26"/>
    </row>
    <row r="194" spans="5:9">
      <c r="E194" s="26"/>
      <c r="F194" s="26"/>
      <c r="G194" s="26"/>
      <c r="H194" s="26"/>
      <c r="I194" s="26"/>
    </row>
    <row r="195" spans="5:9">
      <c r="E195" s="26"/>
      <c r="F195" s="26"/>
      <c r="G195" s="26"/>
      <c r="H195" s="26"/>
      <c r="I195" s="26"/>
    </row>
    <row r="196" spans="5:9">
      <c r="E196" s="26"/>
      <c r="F196" s="26"/>
      <c r="G196" s="26"/>
      <c r="H196" s="26"/>
      <c r="I196" s="26"/>
    </row>
    <row r="197" spans="5:9">
      <c r="E197" s="26"/>
      <c r="F197" s="26"/>
      <c r="G197" s="26"/>
      <c r="H197" s="26"/>
      <c r="I197" s="26"/>
    </row>
    <row r="198" spans="5:9">
      <c r="E198" s="26"/>
      <c r="F198" s="26"/>
      <c r="G198" s="26"/>
      <c r="H198" s="26"/>
      <c r="I198" s="26"/>
    </row>
    <row r="199" spans="5:9">
      <c r="E199" s="26"/>
      <c r="F199" s="26"/>
      <c r="G199" s="26"/>
      <c r="H199" s="26"/>
      <c r="I199" s="26"/>
    </row>
    <row r="200" spans="5:9">
      <c r="E200" s="26"/>
      <c r="F200" s="26"/>
      <c r="G200" s="26"/>
      <c r="H200" s="26"/>
      <c r="I200" s="26"/>
    </row>
    <row r="201" spans="5:9">
      <c r="E201" s="26"/>
      <c r="F201" s="26"/>
      <c r="G201" s="26"/>
      <c r="H201" s="26"/>
      <c r="I201" s="26"/>
    </row>
    <row r="202" spans="5:9">
      <c r="E202" s="26"/>
      <c r="F202" s="26"/>
      <c r="G202" s="26"/>
      <c r="H202" s="26"/>
      <c r="I202" s="26"/>
    </row>
    <row r="203" spans="5:9">
      <c r="E203" s="26"/>
      <c r="F203" s="26"/>
      <c r="G203" s="26"/>
      <c r="H203" s="26"/>
      <c r="I203" s="26"/>
    </row>
    <row r="204" spans="5:9">
      <c r="E204" s="26"/>
      <c r="F204" s="26"/>
      <c r="G204" s="26"/>
      <c r="H204" s="26"/>
      <c r="I204" s="26"/>
    </row>
    <row r="205" spans="5:9">
      <c r="E205" s="26"/>
      <c r="F205" s="26"/>
      <c r="G205" s="26"/>
      <c r="H205" s="26"/>
      <c r="I205" s="26"/>
    </row>
    <row r="206" spans="5:9">
      <c r="E206" s="26"/>
      <c r="F206" s="26"/>
      <c r="G206" s="26"/>
      <c r="H206" s="26"/>
      <c r="I206" s="26"/>
    </row>
    <row r="207" spans="5:9">
      <c r="E207" s="26"/>
      <c r="F207" s="26"/>
      <c r="G207" s="26"/>
      <c r="H207" s="26"/>
      <c r="I207" s="26"/>
    </row>
    <row r="208" spans="5:9">
      <c r="E208" s="26"/>
      <c r="F208" s="26"/>
      <c r="G208" s="26"/>
      <c r="H208" s="26"/>
      <c r="I208" s="26"/>
    </row>
    <row r="209" spans="5:9">
      <c r="E209" s="26"/>
      <c r="F209" s="26"/>
      <c r="G209" s="26"/>
      <c r="H209" s="26"/>
      <c r="I209" s="26"/>
    </row>
    <row r="210" spans="5:9">
      <c r="E210" s="26"/>
      <c r="F210" s="26"/>
      <c r="G210" s="26"/>
      <c r="H210" s="26"/>
      <c r="I210" s="26"/>
    </row>
    <row r="211" spans="5:9">
      <c r="E211" s="26"/>
      <c r="F211" s="26"/>
      <c r="G211" s="26"/>
      <c r="H211" s="26"/>
      <c r="I211" s="26"/>
    </row>
    <row r="212" spans="5:9">
      <c r="E212" s="26"/>
      <c r="F212" s="26"/>
      <c r="G212" s="26"/>
      <c r="H212" s="26"/>
      <c r="I212" s="26"/>
    </row>
    <row r="213" spans="5:9">
      <c r="E213" s="26"/>
      <c r="F213" s="26"/>
      <c r="G213" s="26"/>
      <c r="H213" s="26"/>
      <c r="I213" s="26"/>
    </row>
    <row r="214" spans="5:9">
      <c r="E214" s="26"/>
      <c r="F214" s="26"/>
      <c r="G214" s="26"/>
      <c r="H214" s="26"/>
      <c r="I214" s="26"/>
    </row>
    <row r="215" spans="5:9">
      <c r="E215" s="26"/>
      <c r="F215" s="26"/>
      <c r="G215" s="26"/>
      <c r="H215" s="26"/>
      <c r="I215" s="26"/>
    </row>
    <row r="216" spans="5:9">
      <c r="E216" s="26"/>
      <c r="F216" s="26"/>
      <c r="G216" s="26"/>
      <c r="H216" s="26"/>
      <c r="I216" s="26"/>
    </row>
    <row r="217" spans="5:9">
      <c r="E217" s="26"/>
      <c r="F217" s="26"/>
      <c r="G217" s="26"/>
      <c r="H217" s="26"/>
      <c r="I217" s="26"/>
    </row>
    <row r="218" spans="5:9">
      <c r="E218" s="26"/>
      <c r="F218" s="26"/>
      <c r="G218" s="26"/>
      <c r="H218" s="26"/>
      <c r="I218" s="26"/>
    </row>
    <row r="219" spans="5:9">
      <c r="E219" s="26"/>
      <c r="F219" s="26"/>
      <c r="G219" s="26"/>
      <c r="H219" s="26"/>
      <c r="I219" s="26"/>
    </row>
    <row r="220" spans="5:9">
      <c r="E220" s="26"/>
      <c r="F220" s="26"/>
      <c r="G220" s="26"/>
      <c r="H220" s="26"/>
      <c r="I220" s="26"/>
    </row>
    <row r="221" spans="5:9">
      <c r="E221" s="26"/>
      <c r="F221" s="26"/>
      <c r="G221" s="26"/>
      <c r="H221" s="26"/>
      <c r="I221" s="26"/>
    </row>
    <row r="222" spans="5:9">
      <c r="E222" s="26"/>
      <c r="F222" s="26"/>
      <c r="G222" s="26"/>
      <c r="H222" s="26"/>
      <c r="I222" s="26"/>
    </row>
    <row r="223" spans="5:9">
      <c r="E223" s="26"/>
      <c r="F223" s="26"/>
      <c r="G223" s="26"/>
      <c r="H223" s="26"/>
      <c r="I223" s="26"/>
    </row>
    <row r="224" spans="5:9">
      <c r="E224" s="26"/>
      <c r="F224" s="26"/>
      <c r="G224" s="26"/>
      <c r="H224" s="26"/>
      <c r="I224" s="26"/>
    </row>
    <row r="225" spans="5:9">
      <c r="E225" s="26"/>
      <c r="F225" s="26"/>
      <c r="G225" s="26"/>
      <c r="H225" s="26"/>
      <c r="I225" s="26"/>
    </row>
    <row r="226" spans="5:9">
      <c r="E226" s="26"/>
      <c r="F226" s="26"/>
      <c r="G226" s="26"/>
      <c r="H226" s="26"/>
      <c r="I226" s="26"/>
    </row>
    <row r="227" spans="5:9">
      <c r="E227" s="26"/>
      <c r="F227" s="26"/>
      <c r="G227" s="26"/>
      <c r="H227" s="26"/>
      <c r="I227" s="26"/>
    </row>
    <row r="228" spans="5:9">
      <c r="E228" s="26"/>
      <c r="F228" s="26"/>
      <c r="G228" s="26"/>
      <c r="H228" s="26"/>
      <c r="I228" s="26"/>
    </row>
    <row r="229" spans="5:9">
      <c r="E229" s="26"/>
      <c r="F229" s="26"/>
      <c r="G229" s="26"/>
      <c r="H229" s="26"/>
      <c r="I229" s="26"/>
    </row>
    <row r="230" spans="5:9">
      <c r="E230" s="26"/>
      <c r="F230" s="26"/>
      <c r="G230" s="26"/>
      <c r="H230" s="26"/>
      <c r="I230" s="26"/>
    </row>
    <row r="231" spans="5:9">
      <c r="E231" s="26"/>
      <c r="F231" s="26"/>
      <c r="G231" s="26"/>
      <c r="H231" s="26"/>
      <c r="I231" s="26"/>
    </row>
    <row r="232" spans="5:9">
      <c r="E232" s="26"/>
      <c r="F232" s="26"/>
      <c r="G232" s="26"/>
      <c r="H232" s="26"/>
      <c r="I232" s="26"/>
    </row>
    <row r="233" spans="5:9">
      <c r="E233" s="26"/>
      <c r="F233" s="26"/>
      <c r="G233" s="26"/>
      <c r="H233" s="26"/>
      <c r="I233" s="26"/>
    </row>
    <row r="234" spans="5:9">
      <c r="E234" s="26"/>
      <c r="F234" s="26"/>
      <c r="G234" s="26"/>
      <c r="H234" s="26"/>
      <c r="I234" s="26"/>
    </row>
    <row r="235" spans="5:9">
      <c r="E235" s="26"/>
      <c r="F235" s="26"/>
      <c r="G235" s="26"/>
      <c r="H235" s="26"/>
      <c r="I235" s="26"/>
    </row>
    <row r="236" spans="5:9">
      <c r="E236" s="26"/>
      <c r="F236" s="26"/>
      <c r="G236" s="26"/>
      <c r="H236" s="26"/>
      <c r="I236" s="26"/>
    </row>
    <row r="237" spans="5:9">
      <c r="E237" s="26"/>
      <c r="F237" s="26"/>
      <c r="G237" s="26"/>
      <c r="H237" s="26"/>
      <c r="I237" s="26"/>
    </row>
    <row r="238" spans="5:9">
      <c r="E238" s="26"/>
      <c r="F238" s="26"/>
      <c r="G238" s="26"/>
      <c r="H238" s="26"/>
      <c r="I238" s="26"/>
    </row>
    <row r="239" spans="5:9">
      <c r="E239" s="26"/>
      <c r="F239" s="26"/>
      <c r="G239" s="26"/>
      <c r="H239" s="26"/>
      <c r="I239" s="26"/>
    </row>
    <row r="240" spans="5:9">
      <c r="E240" s="26"/>
      <c r="F240" s="26"/>
      <c r="G240" s="26"/>
      <c r="H240" s="26"/>
      <c r="I240" s="26"/>
    </row>
    <row r="241" spans="5:9">
      <c r="E241" s="26"/>
      <c r="F241" s="26"/>
      <c r="G241" s="26"/>
      <c r="H241" s="26"/>
      <c r="I241" s="26"/>
    </row>
    <row r="242" spans="5:9">
      <c r="E242" s="26"/>
      <c r="F242" s="26"/>
      <c r="G242" s="26"/>
      <c r="H242" s="26"/>
      <c r="I242" s="26"/>
    </row>
    <row r="243" spans="5:9">
      <c r="E243" s="26"/>
      <c r="F243" s="26"/>
      <c r="G243" s="26"/>
      <c r="H243" s="26"/>
      <c r="I243" s="26"/>
    </row>
    <row r="244" spans="5:9">
      <c r="E244" s="26"/>
      <c r="F244" s="26"/>
      <c r="G244" s="26"/>
      <c r="H244" s="26"/>
      <c r="I244" s="26"/>
    </row>
    <row r="245" spans="5:9">
      <c r="E245" s="26"/>
      <c r="F245" s="26"/>
      <c r="G245" s="26"/>
      <c r="H245" s="26"/>
      <c r="I245" s="26"/>
    </row>
    <row r="246" spans="5:9">
      <c r="E246" s="26"/>
      <c r="F246" s="26"/>
      <c r="G246" s="26"/>
      <c r="H246" s="26"/>
      <c r="I246" s="26"/>
    </row>
    <row r="247" spans="5:9">
      <c r="E247" s="26"/>
      <c r="F247" s="26"/>
      <c r="G247" s="26"/>
      <c r="H247" s="26"/>
      <c r="I247" s="26"/>
    </row>
    <row r="248" spans="5:9">
      <c r="E248" s="26"/>
      <c r="F248" s="26"/>
      <c r="G248" s="26"/>
      <c r="H248" s="26"/>
      <c r="I248" s="26"/>
    </row>
    <row r="249" spans="5:9">
      <c r="E249" s="26"/>
      <c r="F249" s="26"/>
      <c r="G249" s="26"/>
      <c r="H249" s="26"/>
      <c r="I249" s="26"/>
    </row>
    <row r="250" spans="5:9">
      <c r="E250" s="26"/>
      <c r="F250" s="26"/>
      <c r="G250" s="26"/>
      <c r="H250" s="26"/>
      <c r="I250" s="26"/>
    </row>
    <row r="251" spans="5:9">
      <c r="E251" s="26"/>
      <c r="F251" s="26"/>
      <c r="G251" s="26"/>
      <c r="H251" s="26"/>
      <c r="I251" s="26"/>
    </row>
    <row r="252" spans="5:9">
      <c r="E252" s="26"/>
      <c r="F252" s="26"/>
      <c r="G252" s="26"/>
      <c r="H252" s="26"/>
      <c r="I252" s="26"/>
    </row>
    <row r="253" spans="5:9">
      <c r="E253" s="26"/>
      <c r="F253" s="26"/>
      <c r="G253" s="26"/>
      <c r="H253" s="26"/>
      <c r="I253" s="26"/>
    </row>
    <row r="254" spans="5:9">
      <c r="E254" s="26"/>
      <c r="F254" s="26"/>
      <c r="G254" s="26"/>
      <c r="H254" s="26"/>
      <c r="I254" s="26"/>
    </row>
    <row r="255" spans="5:9">
      <c r="E255" s="26"/>
      <c r="F255" s="26"/>
      <c r="G255" s="26"/>
      <c r="H255" s="26"/>
      <c r="I255" s="26"/>
    </row>
    <row r="256" spans="5:9">
      <c r="E256" s="26"/>
      <c r="F256" s="26"/>
      <c r="G256" s="26"/>
      <c r="H256" s="26"/>
      <c r="I256" s="26"/>
    </row>
    <row r="257" spans="5:9">
      <c r="E257" s="26"/>
      <c r="F257" s="26"/>
      <c r="G257" s="26"/>
      <c r="H257" s="26"/>
      <c r="I257" s="26"/>
    </row>
    <row r="258" spans="5:9">
      <c r="E258" s="26"/>
      <c r="F258" s="26"/>
      <c r="G258" s="26"/>
      <c r="H258" s="26"/>
      <c r="I258" s="26"/>
    </row>
    <row r="259" spans="5:9">
      <c r="E259" s="26"/>
      <c r="F259" s="26"/>
      <c r="G259" s="26"/>
      <c r="H259" s="26"/>
      <c r="I259" s="26"/>
    </row>
    <row r="260" spans="5:9">
      <c r="E260" s="26"/>
      <c r="F260" s="26"/>
      <c r="G260" s="26"/>
      <c r="H260" s="26"/>
      <c r="I260" s="26"/>
    </row>
    <row r="261" spans="5:9">
      <c r="E261" s="26"/>
      <c r="F261" s="26"/>
      <c r="G261" s="26"/>
      <c r="H261" s="26"/>
      <c r="I261" s="26"/>
    </row>
    <row r="262" spans="5:9">
      <c r="E262" s="26"/>
      <c r="F262" s="26"/>
      <c r="G262" s="26"/>
      <c r="H262" s="26"/>
      <c r="I262" s="26"/>
    </row>
    <row r="263" spans="5:9">
      <c r="E263" s="26"/>
      <c r="F263" s="26"/>
      <c r="G263" s="26"/>
      <c r="H263" s="26"/>
      <c r="I263" s="26"/>
    </row>
    <row r="264" spans="5:9">
      <c r="E264" s="26"/>
      <c r="F264" s="26"/>
      <c r="G264" s="26"/>
      <c r="H264" s="26"/>
      <c r="I264" s="26"/>
    </row>
    <row r="265" spans="5:9">
      <c r="E265" s="26"/>
      <c r="F265" s="26"/>
      <c r="G265" s="26"/>
      <c r="H265" s="26"/>
      <c r="I265" s="26"/>
    </row>
    <row r="266" spans="5:9">
      <c r="E266" s="26"/>
      <c r="F266" s="26"/>
      <c r="G266" s="26"/>
      <c r="H266" s="26"/>
      <c r="I266" s="26"/>
    </row>
    <row r="267" spans="5:9">
      <c r="E267" s="26"/>
      <c r="F267" s="26"/>
      <c r="G267" s="26"/>
      <c r="H267" s="26"/>
      <c r="I267" s="26"/>
    </row>
    <row r="268" spans="5:9">
      <c r="E268" s="26"/>
      <c r="F268" s="26"/>
      <c r="G268" s="26"/>
      <c r="H268" s="26"/>
      <c r="I268" s="26"/>
    </row>
    <row r="269" spans="5:9">
      <c r="E269" s="26"/>
      <c r="F269" s="26"/>
      <c r="G269" s="26"/>
      <c r="H269" s="26"/>
      <c r="I269" s="26"/>
    </row>
    <row r="270" spans="5:9">
      <c r="E270" s="26"/>
      <c r="F270" s="26"/>
      <c r="G270" s="26"/>
      <c r="H270" s="26"/>
      <c r="I270" s="26"/>
    </row>
    <row r="271" spans="5:9">
      <c r="E271" s="26"/>
      <c r="F271" s="26"/>
      <c r="G271" s="26"/>
      <c r="H271" s="26"/>
      <c r="I271" s="26"/>
    </row>
    <row r="272" spans="5:9">
      <c r="E272" s="26"/>
      <c r="F272" s="26"/>
      <c r="G272" s="26"/>
      <c r="H272" s="26"/>
      <c r="I272" s="26"/>
    </row>
    <row r="273" spans="5:9">
      <c r="E273" s="26"/>
      <c r="F273" s="26"/>
      <c r="G273" s="26"/>
      <c r="H273" s="26"/>
      <c r="I273" s="26"/>
    </row>
    <row r="274" spans="5:9">
      <c r="E274" s="26"/>
      <c r="F274" s="26"/>
      <c r="G274" s="26"/>
      <c r="H274" s="26"/>
      <c r="I274" s="26"/>
    </row>
    <row r="275" spans="5:9">
      <c r="E275" s="26"/>
      <c r="F275" s="26"/>
      <c r="G275" s="26"/>
      <c r="H275" s="26"/>
      <c r="I275" s="26"/>
    </row>
    <row r="276" spans="5:9">
      <c r="E276" s="26"/>
      <c r="F276" s="26"/>
      <c r="G276" s="26"/>
      <c r="H276" s="26"/>
      <c r="I276" s="26"/>
    </row>
    <row r="277" spans="5:9">
      <c r="E277" s="26"/>
      <c r="F277" s="26"/>
      <c r="G277" s="26"/>
      <c r="H277" s="26"/>
      <c r="I277" s="26"/>
    </row>
    <row r="278" spans="5:9">
      <c r="E278" s="26"/>
      <c r="F278" s="26"/>
      <c r="G278" s="26"/>
      <c r="H278" s="26"/>
      <c r="I278" s="26"/>
    </row>
    <row r="279" spans="5:9">
      <c r="E279" s="26"/>
      <c r="F279" s="26"/>
      <c r="G279" s="26"/>
      <c r="H279" s="26"/>
      <c r="I279" s="26"/>
    </row>
    <row r="280" spans="5:9">
      <c r="E280" s="26"/>
      <c r="F280" s="26"/>
      <c r="G280" s="26"/>
      <c r="H280" s="26"/>
      <c r="I280" s="26"/>
    </row>
    <row r="281" spans="5:9">
      <c r="E281" s="26"/>
      <c r="F281" s="26"/>
      <c r="G281" s="26"/>
      <c r="H281" s="26"/>
      <c r="I281" s="26"/>
    </row>
    <row r="282" spans="5:9">
      <c r="E282" s="26"/>
      <c r="F282" s="26"/>
      <c r="G282" s="26"/>
      <c r="H282" s="26"/>
      <c r="I282" s="26"/>
    </row>
    <row r="283" spans="5:9">
      <c r="E283" s="26"/>
      <c r="F283" s="26"/>
      <c r="G283" s="26"/>
      <c r="H283" s="26"/>
      <c r="I283" s="26"/>
    </row>
    <row r="284" spans="5:9">
      <c r="E284" s="26"/>
      <c r="F284" s="26"/>
      <c r="G284" s="26"/>
      <c r="H284" s="26"/>
      <c r="I284" s="26"/>
    </row>
    <row r="285" spans="5:9">
      <c r="E285" s="26"/>
      <c r="F285" s="26"/>
      <c r="G285" s="26"/>
      <c r="H285" s="26"/>
      <c r="I285" s="26"/>
    </row>
    <row r="286" spans="5:9">
      <c r="E286" s="26"/>
      <c r="F286" s="26"/>
      <c r="G286" s="26"/>
      <c r="H286" s="26"/>
      <c r="I286" s="26"/>
    </row>
    <row r="287" spans="5:9">
      <c r="E287" s="26"/>
      <c r="F287" s="26"/>
      <c r="G287" s="26"/>
      <c r="H287" s="26"/>
      <c r="I287" s="26"/>
    </row>
    <row r="288" spans="5:9">
      <c r="E288" s="26"/>
      <c r="F288" s="26"/>
      <c r="G288" s="26"/>
      <c r="H288" s="26"/>
      <c r="I288" s="26"/>
    </row>
    <row r="289" spans="5:9">
      <c r="E289" s="26"/>
      <c r="F289" s="26"/>
      <c r="G289" s="26"/>
      <c r="H289" s="26"/>
      <c r="I289" s="26"/>
    </row>
    <row r="290" spans="5:9">
      <c r="E290" s="26"/>
      <c r="F290" s="26"/>
      <c r="G290" s="26"/>
      <c r="H290" s="26"/>
      <c r="I290" s="26"/>
    </row>
    <row r="291" spans="5:9">
      <c r="E291" s="26"/>
      <c r="F291" s="26"/>
      <c r="G291" s="26"/>
      <c r="H291" s="26"/>
      <c r="I291" s="26"/>
    </row>
    <row r="292" spans="5:9">
      <c r="E292" s="26"/>
      <c r="F292" s="26"/>
      <c r="G292" s="26"/>
      <c r="H292" s="26"/>
      <c r="I292" s="26"/>
    </row>
    <row r="293" spans="5:9">
      <c r="E293" s="26"/>
      <c r="F293" s="26"/>
      <c r="G293" s="26"/>
      <c r="H293" s="26"/>
      <c r="I293" s="26"/>
    </row>
    <row r="294" spans="5:9">
      <c r="E294" s="26"/>
      <c r="F294" s="26"/>
      <c r="G294" s="26"/>
      <c r="H294" s="26"/>
      <c r="I294" s="26"/>
    </row>
    <row r="295" spans="5:9">
      <c r="E295" s="26"/>
      <c r="F295" s="26"/>
      <c r="G295" s="26"/>
      <c r="H295" s="26"/>
      <c r="I295" s="26"/>
    </row>
    <row r="296" spans="5:9">
      <c r="E296" s="26"/>
      <c r="F296" s="26"/>
      <c r="G296" s="26"/>
      <c r="H296" s="26"/>
      <c r="I296" s="26"/>
    </row>
    <row r="297" spans="5:9">
      <c r="E297" s="26"/>
      <c r="F297" s="26"/>
      <c r="G297" s="26"/>
      <c r="H297" s="26"/>
      <c r="I297" s="26"/>
    </row>
    <row r="298" spans="5:9">
      <c r="E298" s="26"/>
      <c r="F298" s="26"/>
      <c r="G298" s="26"/>
      <c r="H298" s="26"/>
      <c r="I298" s="26"/>
    </row>
    <row r="299" spans="5:9">
      <c r="E299" s="26"/>
      <c r="F299" s="26"/>
      <c r="G299" s="26"/>
      <c r="H299" s="26"/>
      <c r="I299" s="26"/>
    </row>
    <row r="300" spans="5:9">
      <c r="E300" s="26"/>
      <c r="F300" s="26"/>
      <c r="G300" s="26"/>
      <c r="H300" s="26"/>
      <c r="I300" s="26"/>
    </row>
    <row r="301" spans="5:9">
      <c r="E301" s="26"/>
      <c r="F301" s="26"/>
      <c r="G301" s="26"/>
      <c r="H301" s="26"/>
      <c r="I301" s="26"/>
    </row>
    <row r="302" spans="5:9">
      <c r="E302" s="26"/>
      <c r="F302" s="26"/>
      <c r="G302" s="26"/>
      <c r="H302" s="26"/>
      <c r="I302" s="26"/>
    </row>
    <row r="303" spans="5:9">
      <c r="E303" s="26"/>
      <c r="F303" s="26"/>
      <c r="G303" s="26"/>
      <c r="H303" s="26"/>
      <c r="I303" s="26"/>
    </row>
    <row r="304" spans="5:9">
      <c r="E304" s="26"/>
      <c r="F304" s="26"/>
      <c r="G304" s="26"/>
      <c r="H304" s="26"/>
      <c r="I304" s="26"/>
    </row>
    <row r="305" spans="5:9">
      <c r="E305" s="26"/>
      <c r="F305" s="26"/>
      <c r="G305" s="26"/>
      <c r="H305" s="26"/>
      <c r="I305" s="26"/>
    </row>
    <row r="306" spans="5:9">
      <c r="E306" s="26"/>
      <c r="F306" s="26"/>
      <c r="G306" s="26"/>
      <c r="H306" s="26"/>
      <c r="I306" s="26"/>
    </row>
    <row r="307" spans="5:9">
      <c r="E307" s="26"/>
      <c r="F307" s="26"/>
      <c r="G307" s="26"/>
      <c r="H307" s="26"/>
      <c r="I307" s="26"/>
    </row>
    <row r="308" spans="5:9">
      <c r="E308" s="26"/>
      <c r="F308" s="26"/>
      <c r="G308" s="26"/>
      <c r="H308" s="26"/>
      <c r="I308" s="26"/>
    </row>
    <row r="309" spans="5:9">
      <c r="E309" s="26"/>
      <c r="F309" s="26"/>
      <c r="G309" s="26"/>
      <c r="H309" s="26"/>
      <c r="I309" s="26"/>
    </row>
    <row r="310" spans="5:9">
      <c r="E310" s="26"/>
      <c r="F310" s="26"/>
      <c r="G310" s="26"/>
      <c r="H310" s="26"/>
      <c r="I310" s="26"/>
    </row>
    <row r="311" spans="5:9">
      <c r="E311" s="26"/>
      <c r="F311" s="26"/>
      <c r="G311" s="26"/>
      <c r="H311" s="26"/>
      <c r="I311" s="26"/>
    </row>
    <row r="312" spans="5:9">
      <c r="E312" s="26"/>
      <c r="F312" s="26"/>
      <c r="G312" s="26"/>
      <c r="H312" s="26"/>
      <c r="I312" s="26"/>
    </row>
    <row r="313" spans="5:9">
      <c r="E313" s="26"/>
      <c r="F313" s="26"/>
      <c r="G313" s="26"/>
      <c r="H313" s="26"/>
      <c r="I313" s="26"/>
    </row>
    <row r="314" spans="5:9">
      <c r="E314" s="26"/>
      <c r="F314" s="26"/>
      <c r="G314" s="26"/>
      <c r="H314" s="26"/>
      <c r="I314" s="26"/>
    </row>
    <row r="315" spans="5:9">
      <c r="E315" s="26"/>
      <c r="F315" s="26"/>
      <c r="G315" s="26"/>
      <c r="H315" s="26"/>
      <c r="I315" s="26"/>
    </row>
    <row r="316" spans="5:9">
      <c r="E316" s="26"/>
      <c r="F316" s="26"/>
      <c r="G316" s="26"/>
      <c r="H316" s="26"/>
      <c r="I316" s="26"/>
    </row>
    <row r="317" spans="5:9">
      <c r="E317" s="26"/>
      <c r="F317" s="26"/>
      <c r="G317" s="26"/>
      <c r="H317" s="26"/>
      <c r="I317" s="26"/>
    </row>
    <row r="318" spans="5:9">
      <c r="E318" s="26"/>
      <c r="F318" s="26"/>
      <c r="G318" s="26"/>
      <c r="H318" s="26"/>
      <c r="I318" s="26"/>
    </row>
    <row r="319" spans="5:9">
      <c r="E319" s="26"/>
      <c r="F319" s="26"/>
      <c r="G319" s="26"/>
      <c r="H319" s="26"/>
      <c r="I319" s="26"/>
    </row>
    <row r="320" spans="5:9">
      <c r="E320" s="26"/>
      <c r="F320" s="26"/>
      <c r="G320" s="26"/>
      <c r="H320" s="26"/>
      <c r="I320" s="26"/>
    </row>
    <row r="321" spans="5:9">
      <c r="E321" s="26"/>
      <c r="F321" s="26"/>
      <c r="G321" s="26"/>
      <c r="H321" s="26"/>
      <c r="I321" s="26"/>
    </row>
    <row r="322" spans="5:9">
      <c r="E322" s="26"/>
      <c r="F322" s="26"/>
      <c r="G322" s="26"/>
      <c r="H322" s="26"/>
      <c r="I322" s="26"/>
    </row>
    <row r="323" spans="5:9">
      <c r="E323" s="26"/>
      <c r="F323" s="26"/>
      <c r="G323" s="26"/>
      <c r="H323" s="26"/>
      <c r="I323" s="26"/>
    </row>
    <row r="324" spans="5:9">
      <c r="E324" s="26"/>
      <c r="F324" s="26"/>
      <c r="G324" s="26"/>
      <c r="H324" s="26"/>
      <c r="I324" s="26"/>
    </row>
    <row r="325" spans="5:9">
      <c r="E325" s="26"/>
      <c r="F325" s="26"/>
      <c r="G325" s="26"/>
      <c r="H325" s="26"/>
      <c r="I325" s="26"/>
    </row>
    <row r="326" spans="5:9">
      <c r="E326" s="26"/>
      <c r="F326" s="26"/>
      <c r="G326" s="26"/>
      <c r="H326" s="26"/>
      <c r="I326" s="26"/>
    </row>
    <row r="327" spans="5:9">
      <c r="E327" s="26"/>
      <c r="F327" s="26"/>
      <c r="G327" s="26"/>
      <c r="H327" s="26"/>
      <c r="I327" s="26"/>
    </row>
    <row r="328" spans="5:9">
      <c r="E328" s="26"/>
      <c r="F328" s="26"/>
      <c r="G328" s="26"/>
      <c r="H328" s="26"/>
      <c r="I328" s="26"/>
    </row>
    <row r="329" spans="5:9">
      <c r="E329" s="26"/>
      <c r="F329" s="26"/>
      <c r="G329" s="26"/>
      <c r="H329" s="26"/>
      <c r="I329" s="26"/>
    </row>
    <row r="330" spans="5:9">
      <c r="E330" s="26"/>
      <c r="F330" s="26"/>
      <c r="G330" s="26"/>
      <c r="H330" s="26"/>
      <c r="I330" s="26"/>
    </row>
    <row r="331" spans="5:9">
      <c r="E331" s="26"/>
      <c r="F331" s="26"/>
      <c r="G331" s="26"/>
      <c r="H331" s="26"/>
      <c r="I331" s="26"/>
    </row>
    <row r="332" spans="5:9">
      <c r="E332" s="26"/>
      <c r="F332" s="26"/>
      <c r="G332" s="26"/>
      <c r="H332" s="26"/>
      <c r="I332" s="26"/>
    </row>
    <row r="333" spans="5:9">
      <c r="E333" s="26"/>
      <c r="F333" s="26"/>
      <c r="G333" s="26"/>
      <c r="H333" s="26"/>
      <c r="I333" s="26"/>
    </row>
    <row r="334" spans="5:9">
      <c r="E334" s="26"/>
      <c r="F334" s="26"/>
      <c r="G334" s="26"/>
      <c r="H334" s="26"/>
      <c r="I334" s="26"/>
    </row>
    <row r="335" spans="5:9">
      <c r="E335" s="26"/>
      <c r="F335" s="26"/>
      <c r="G335" s="26"/>
      <c r="H335" s="26"/>
      <c r="I335" s="26"/>
    </row>
    <row r="336" spans="5:9">
      <c r="E336" s="26"/>
      <c r="F336" s="26"/>
      <c r="G336" s="26"/>
      <c r="H336" s="26"/>
      <c r="I336" s="26"/>
    </row>
    <row r="337" spans="5:9">
      <c r="E337" s="26"/>
      <c r="F337" s="26"/>
      <c r="G337" s="26"/>
      <c r="H337" s="26"/>
      <c r="I337" s="26"/>
    </row>
    <row r="338" spans="5:9">
      <c r="E338" s="26"/>
      <c r="F338" s="26"/>
      <c r="G338" s="26"/>
      <c r="H338" s="26"/>
      <c r="I338" s="26"/>
    </row>
    <row r="339" spans="5:9">
      <c r="E339" s="26"/>
      <c r="F339" s="26"/>
      <c r="G339" s="26"/>
      <c r="H339" s="26"/>
      <c r="I339" s="26"/>
    </row>
    <row r="340" spans="5:9">
      <c r="E340" s="26"/>
      <c r="F340" s="26"/>
      <c r="G340" s="26"/>
      <c r="H340" s="26"/>
      <c r="I340" s="26"/>
    </row>
    <row r="341" spans="5:9">
      <c r="E341" s="26"/>
      <c r="F341" s="26"/>
      <c r="G341" s="26"/>
      <c r="H341" s="26"/>
      <c r="I341" s="26"/>
    </row>
    <row r="342" spans="5:9">
      <c r="E342" s="26"/>
      <c r="F342" s="26"/>
      <c r="G342" s="26"/>
      <c r="H342" s="26"/>
      <c r="I342" s="26"/>
    </row>
    <row r="343" spans="5:9">
      <c r="E343" s="26"/>
      <c r="F343" s="26"/>
      <c r="G343" s="26"/>
      <c r="H343" s="26"/>
      <c r="I343" s="26"/>
    </row>
    <row r="344" spans="5:9">
      <c r="E344" s="26"/>
      <c r="F344" s="26"/>
      <c r="G344" s="26"/>
      <c r="H344" s="26"/>
      <c r="I344" s="26"/>
    </row>
    <row r="345" spans="5:9">
      <c r="E345" s="26"/>
      <c r="F345" s="26"/>
      <c r="G345" s="26"/>
      <c r="H345" s="26"/>
      <c r="I345" s="26"/>
    </row>
    <row r="346" spans="5:9">
      <c r="E346" s="26"/>
      <c r="F346" s="26"/>
      <c r="G346" s="26"/>
      <c r="H346" s="26"/>
      <c r="I346" s="26"/>
    </row>
    <row r="347" spans="5:9">
      <c r="E347" s="26"/>
      <c r="F347" s="26"/>
      <c r="G347" s="26"/>
      <c r="H347" s="26"/>
      <c r="I347" s="26"/>
    </row>
    <row r="348" spans="5:9">
      <c r="E348" s="26"/>
      <c r="F348" s="26"/>
      <c r="G348" s="26"/>
      <c r="H348" s="26"/>
      <c r="I348" s="26"/>
    </row>
    <row r="349" spans="5:9">
      <c r="E349" s="26"/>
      <c r="F349" s="26"/>
      <c r="G349" s="26"/>
      <c r="H349" s="26"/>
      <c r="I349" s="26"/>
    </row>
    <row r="350" spans="5:9">
      <c r="E350" s="26"/>
      <c r="F350" s="26"/>
      <c r="G350" s="26"/>
      <c r="H350" s="26"/>
      <c r="I350" s="26"/>
    </row>
    <row r="351" spans="5:9">
      <c r="E351" s="26"/>
      <c r="F351" s="26"/>
      <c r="G351" s="26"/>
      <c r="H351" s="26"/>
      <c r="I351" s="26"/>
    </row>
    <row r="352" spans="5:9">
      <c r="E352" s="26"/>
      <c r="F352" s="26"/>
      <c r="G352" s="26"/>
      <c r="H352" s="26"/>
      <c r="I352" s="26"/>
    </row>
    <row r="353" spans="5:9">
      <c r="E353" s="26"/>
      <c r="F353" s="26"/>
      <c r="G353" s="26"/>
      <c r="H353" s="26"/>
      <c r="I353" s="26"/>
    </row>
    <row r="354" spans="5:9">
      <c r="E354" s="26"/>
      <c r="F354" s="26"/>
      <c r="G354" s="26"/>
      <c r="H354" s="26"/>
      <c r="I354" s="26"/>
    </row>
    <row r="355" spans="5:9">
      <c r="E355" s="26"/>
      <c r="F355" s="26"/>
      <c r="G355" s="26"/>
      <c r="H355" s="26"/>
      <c r="I355" s="26"/>
    </row>
    <row r="356" spans="5:9">
      <c r="E356" s="26"/>
      <c r="F356" s="26"/>
      <c r="G356" s="26"/>
      <c r="H356" s="26"/>
      <c r="I356" s="26"/>
    </row>
    <row r="357" spans="5:9">
      <c r="E357" s="26"/>
      <c r="F357" s="26"/>
      <c r="G357" s="26"/>
      <c r="H357" s="26"/>
      <c r="I357" s="26"/>
    </row>
    <row r="358" spans="5:9">
      <c r="E358" s="26"/>
      <c r="F358" s="26"/>
      <c r="G358" s="26"/>
      <c r="H358" s="26"/>
      <c r="I358" s="26"/>
    </row>
    <row r="359" spans="5:9">
      <c r="E359" s="26"/>
      <c r="F359" s="26"/>
      <c r="G359" s="26"/>
      <c r="H359" s="26"/>
      <c r="I359" s="26"/>
    </row>
    <row r="360" spans="5:9">
      <c r="E360" s="26"/>
      <c r="F360" s="26"/>
      <c r="G360" s="26"/>
      <c r="H360" s="26"/>
      <c r="I360" s="26"/>
    </row>
    <row r="361" spans="5:9">
      <c r="E361" s="26"/>
      <c r="F361" s="26"/>
      <c r="G361" s="26"/>
      <c r="H361" s="26"/>
      <c r="I361" s="26"/>
    </row>
    <row r="362" spans="5:9">
      <c r="E362" s="26"/>
      <c r="F362" s="26"/>
      <c r="G362" s="26"/>
      <c r="H362" s="26"/>
      <c r="I362" s="26"/>
    </row>
    <row r="363" spans="5:9">
      <c r="E363" s="26"/>
      <c r="F363" s="26"/>
      <c r="G363" s="26"/>
      <c r="H363" s="26"/>
      <c r="I363" s="26"/>
    </row>
    <row r="364" spans="5:9">
      <c r="E364" s="26"/>
      <c r="F364" s="26"/>
      <c r="G364" s="26"/>
      <c r="H364" s="26"/>
      <c r="I364" s="26"/>
    </row>
    <row r="365" spans="5:9">
      <c r="E365" s="26"/>
      <c r="F365" s="26"/>
      <c r="G365" s="26"/>
      <c r="H365" s="26"/>
      <c r="I365" s="26"/>
    </row>
    <row r="366" spans="5:9">
      <c r="E366" s="26"/>
      <c r="F366" s="26"/>
      <c r="G366" s="26"/>
      <c r="H366" s="26"/>
      <c r="I366" s="26"/>
    </row>
    <row r="367" spans="5:9">
      <c r="E367" s="26"/>
      <c r="F367" s="26"/>
      <c r="G367" s="26"/>
      <c r="H367" s="26"/>
      <c r="I367" s="26"/>
    </row>
    <row r="368" spans="5:9">
      <c r="E368" s="26"/>
      <c r="F368" s="26"/>
      <c r="G368" s="26"/>
      <c r="H368" s="26"/>
      <c r="I368" s="26"/>
    </row>
    <row r="369" spans="5:9">
      <c r="E369" s="26"/>
      <c r="F369" s="26"/>
      <c r="G369" s="26"/>
      <c r="H369" s="26"/>
      <c r="I369" s="26"/>
    </row>
    <row r="370" spans="5:9">
      <c r="E370" s="26"/>
      <c r="F370" s="26"/>
      <c r="G370" s="26"/>
      <c r="H370" s="26"/>
      <c r="I370" s="26"/>
    </row>
    <row r="371" spans="5:9">
      <c r="E371" s="26"/>
      <c r="F371" s="26"/>
      <c r="G371" s="26"/>
      <c r="H371" s="26"/>
      <c r="I371" s="26"/>
    </row>
    <row r="372" spans="5:9">
      <c r="E372" s="26"/>
      <c r="F372" s="26"/>
      <c r="G372" s="26"/>
      <c r="H372" s="26"/>
      <c r="I372" s="26"/>
    </row>
    <row r="373" spans="5:9">
      <c r="E373" s="26"/>
      <c r="F373" s="26"/>
      <c r="G373" s="26"/>
      <c r="H373" s="26"/>
      <c r="I373" s="26"/>
    </row>
    <row r="374" spans="5:9">
      <c r="E374" s="26"/>
      <c r="F374" s="26"/>
      <c r="G374" s="26"/>
      <c r="H374" s="26"/>
      <c r="I374" s="26"/>
    </row>
    <row r="375" spans="5:9">
      <c r="E375" s="26"/>
      <c r="F375" s="26"/>
      <c r="G375" s="26"/>
      <c r="H375" s="26"/>
      <c r="I375" s="26"/>
    </row>
    <row r="376" spans="5:9">
      <c r="E376" s="26"/>
      <c r="F376" s="26"/>
      <c r="G376" s="26"/>
      <c r="H376" s="26"/>
      <c r="I376" s="26"/>
    </row>
    <row r="377" spans="5:9">
      <c r="E377" s="26"/>
      <c r="F377" s="26"/>
      <c r="G377" s="26"/>
      <c r="H377" s="26"/>
      <c r="I377" s="26"/>
    </row>
    <row r="378" spans="5:9">
      <c r="E378" s="26"/>
      <c r="F378" s="26"/>
      <c r="G378" s="26"/>
      <c r="H378" s="26"/>
      <c r="I378" s="26"/>
    </row>
    <row r="379" spans="5:9">
      <c r="E379" s="26"/>
      <c r="F379" s="26"/>
      <c r="G379" s="26"/>
      <c r="H379" s="26"/>
      <c r="I379" s="26"/>
    </row>
    <row r="380" spans="5:9">
      <c r="E380" s="26"/>
      <c r="F380" s="26"/>
      <c r="G380" s="26"/>
      <c r="H380" s="26"/>
      <c r="I380" s="26"/>
    </row>
    <row r="381" spans="5:9">
      <c r="E381" s="26"/>
      <c r="F381" s="26"/>
      <c r="G381" s="26"/>
      <c r="H381" s="26"/>
      <c r="I381" s="26"/>
    </row>
    <row r="382" spans="5:9">
      <c r="E382" s="26"/>
      <c r="F382" s="26"/>
      <c r="G382" s="26"/>
      <c r="H382" s="26"/>
      <c r="I382" s="26"/>
    </row>
    <row r="383" spans="5:9">
      <c r="E383" s="26"/>
      <c r="F383" s="26"/>
      <c r="G383" s="26"/>
      <c r="H383" s="26"/>
      <c r="I383" s="26"/>
    </row>
    <row r="384" spans="5:9">
      <c r="E384" s="26"/>
      <c r="F384" s="26"/>
      <c r="G384" s="26"/>
      <c r="H384" s="26"/>
      <c r="I384" s="26"/>
    </row>
    <row r="385" spans="5:9">
      <c r="E385" s="26"/>
      <c r="F385" s="26"/>
      <c r="G385" s="26"/>
      <c r="H385" s="26"/>
      <c r="I385" s="26"/>
    </row>
    <row r="386" spans="5:9">
      <c r="E386" s="26"/>
      <c r="F386" s="26"/>
      <c r="G386" s="26"/>
      <c r="H386" s="26"/>
      <c r="I386" s="26"/>
    </row>
    <row r="387" spans="5:9">
      <c r="E387" s="26"/>
      <c r="F387" s="26"/>
      <c r="G387" s="26"/>
      <c r="H387" s="26"/>
      <c r="I387" s="26"/>
    </row>
    <row r="388" spans="5:9">
      <c r="E388" s="26"/>
      <c r="F388" s="26"/>
      <c r="G388" s="26"/>
      <c r="H388" s="26"/>
      <c r="I388" s="26"/>
    </row>
    <row r="389" spans="5:9">
      <c r="E389" s="26"/>
      <c r="F389" s="26"/>
      <c r="G389" s="26"/>
      <c r="H389" s="26"/>
      <c r="I389" s="26"/>
    </row>
    <row r="390" spans="5:9">
      <c r="E390" s="26"/>
      <c r="F390" s="26"/>
      <c r="G390" s="26"/>
      <c r="H390" s="26"/>
      <c r="I390" s="26"/>
    </row>
    <row r="391" spans="5:9">
      <c r="E391" s="26"/>
      <c r="F391" s="26"/>
      <c r="G391" s="26"/>
      <c r="H391" s="26"/>
      <c r="I391" s="26"/>
    </row>
    <row r="392" spans="5:9">
      <c r="E392" s="26"/>
      <c r="F392" s="26"/>
      <c r="G392" s="26"/>
      <c r="H392" s="26"/>
      <c r="I392" s="26"/>
    </row>
    <row r="393" spans="5:9">
      <c r="E393" s="26"/>
      <c r="F393" s="26"/>
      <c r="G393" s="26"/>
      <c r="H393" s="26"/>
      <c r="I393" s="26"/>
    </row>
    <row r="394" spans="5:9">
      <c r="E394" s="26"/>
      <c r="F394" s="26"/>
      <c r="G394" s="26"/>
      <c r="H394" s="26"/>
      <c r="I394" s="26"/>
    </row>
    <row r="395" spans="5:9">
      <c r="E395" s="26"/>
      <c r="F395" s="26"/>
      <c r="G395" s="26"/>
      <c r="H395" s="26"/>
      <c r="I395" s="26"/>
    </row>
    <row r="396" spans="5:9">
      <c r="E396" s="26"/>
      <c r="F396" s="26"/>
      <c r="G396" s="26"/>
      <c r="H396" s="26"/>
      <c r="I396" s="26"/>
    </row>
    <row r="397" spans="5:9">
      <c r="E397" s="26"/>
      <c r="F397" s="26"/>
      <c r="G397" s="26"/>
      <c r="H397" s="26"/>
      <c r="I397" s="26"/>
    </row>
    <row r="398" spans="5:9">
      <c r="E398" s="26"/>
      <c r="F398" s="26"/>
      <c r="G398" s="26"/>
      <c r="H398" s="26"/>
      <c r="I398" s="26"/>
    </row>
    <row r="399" spans="5:9">
      <c r="E399" s="26"/>
      <c r="F399" s="26"/>
      <c r="G399" s="26"/>
      <c r="H399" s="26"/>
      <c r="I399" s="26"/>
    </row>
    <row r="400" spans="5:9">
      <c r="E400" s="26"/>
      <c r="F400" s="26"/>
      <c r="G400" s="26"/>
      <c r="H400" s="26"/>
      <c r="I400" s="26"/>
    </row>
    <row r="401" spans="5:9">
      <c r="E401" s="26"/>
      <c r="F401" s="26"/>
      <c r="G401" s="26"/>
      <c r="H401" s="26"/>
      <c r="I401" s="26"/>
    </row>
    <row r="402" spans="5:9">
      <c r="E402" s="26"/>
      <c r="F402" s="26"/>
      <c r="G402" s="26"/>
      <c r="H402" s="26"/>
      <c r="I402" s="26"/>
    </row>
    <row r="403" spans="5:9">
      <c r="E403" s="26"/>
      <c r="F403" s="26"/>
      <c r="G403" s="26"/>
      <c r="H403" s="26"/>
      <c r="I403" s="26"/>
    </row>
    <row r="404" spans="5:9">
      <c r="E404" s="26"/>
      <c r="F404" s="26"/>
      <c r="G404" s="26"/>
      <c r="H404" s="26"/>
      <c r="I404" s="26"/>
    </row>
    <row r="405" spans="5:9">
      <c r="E405" s="26"/>
      <c r="F405" s="26"/>
      <c r="G405" s="26"/>
      <c r="H405" s="26"/>
      <c r="I405" s="26"/>
    </row>
    <row r="406" spans="5:9">
      <c r="E406" s="26"/>
      <c r="F406" s="26"/>
      <c r="G406" s="26"/>
      <c r="H406" s="26"/>
      <c r="I406" s="26"/>
    </row>
    <row r="407" spans="5:9">
      <c r="E407" s="26"/>
      <c r="F407" s="26"/>
      <c r="G407" s="26"/>
      <c r="H407" s="26"/>
      <c r="I407" s="26"/>
    </row>
    <row r="408" spans="5:9">
      <c r="E408" s="26"/>
      <c r="F408" s="26"/>
      <c r="G408" s="26"/>
      <c r="H408" s="26"/>
      <c r="I408" s="26"/>
    </row>
    <row r="409" spans="5:9">
      <c r="E409" s="26"/>
      <c r="F409" s="26"/>
      <c r="G409" s="26"/>
      <c r="H409" s="26"/>
      <c r="I409" s="26"/>
    </row>
    <row r="410" spans="5:9">
      <c r="E410" s="26"/>
      <c r="F410" s="26"/>
      <c r="G410" s="26"/>
      <c r="H410" s="26"/>
      <c r="I410" s="26"/>
    </row>
    <row r="411" spans="5:9">
      <c r="E411" s="26"/>
      <c r="F411" s="26"/>
      <c r="G411" s="26"/>
      <c r="H411" s="26"/>
      <c r="I411" s="26"/>
    </row>
    <row r="412" spans="5:9">
      <c r="E412" s="26"/>
      <c r="F412" s="26"/>
      <c r="G412" s="26"/>
      <c r="H412" s="26"/>
      <c r="I412" s="26"/>
    </row>
    <row r="413" spans="5:9">
      <c r="E413" s="26"/>
      <c r="F413" s="26"/>
      <c r="G413" s="26"/>
      <c r="H413" s="26"/>
      <c r="I413" s="26"/>
    </row>
    <row r="414" spans="5:9">
      <c r="E414" s="26"/>
      <c r="F414" s="26"/>
      <c r="G414" s="26"/>
      <c r="H414" s="26"/>
      <c r="I414" s="26"/>
    </row>
    <row r="415" spans="5:9">
      <c r="E415" s="26"/>
      <c r="F415" s="26"/>
      <c r="G415" s="26"/>
      <c r="H415" s="26"/>
      <c r="I415" s="26"/>
    </row>
    <row r="416" spans="5:9">
      <c r="E416" s="26"/>
      <c r="F416" s="26"/>
      <c r="G416" s="26"/>
      <c r="H416" s="26"/>
      <c r="I416" s="26"/>
    </row>
    <row r="417" spans="5:9">
      <c r="E417" s="26"/>
      <c r="F417" s="26"/>
      <c r="G417" s="26"/>
      <c r="H417" s="26"/>
      <c r="I417" s="26"/>
    </row>
    <row r="418" spans="5:9">
      <c r="E418" s="26"/>
      <c r="F418" s="26"/>
      <c r="G418" s="26"/>
      <c r="H418" s="26"/>
      <c r="I418" s="26"/>
    </row>
    <row r="419" spans="5:9">
      <c r="E419" s="26"/>
      <c r="F419" s="26"/>
      <c r="G419" s="26"/>
      <c r="H419" s="26"/>
      <c r="I419" s="26"/>
    </row>
    <row r="420" spans="5:9">
      <c r="E420" s="26"/>
      <c r="F420" s="26"/>
      <c r="G420" s="26"/>
      <c r="H420" s="26"/>
      <c r="I420" s="26"/>
    </row>
    <row r="421" spans="5:9">
      <c r="E421" s="26"/>
      <c r="F421" s="26"/>
      <c r="G421" s="26"/>
      <c r="H421" s="26"/>
      <c r="I421" s="26"/>
    </row>
    <row r="422" spans="5:9">
      <c r="E422" s="26"/>
      <c r="F422" s="26"/>
      <c r="G422" s="26"/>
      <c r="H422" s="26"/>
      <c r="I422" s="26"/>
    </row>
    <row r="423" spans="5:9">
      <c r="E423" s="26"/>
      <c r="F423" s="26"/>
      <c r="G423" s="26"/>
      <c r="H423" s="26"/>
      <c r="I423" s="26"/>
    </row>
    <row r="424" spans="5:9">
      <c r="E424" s="26"/>
      <c r="F424" s="26"/>
      <c r="G424" s="26"/>
      <c r="H424" s="26"/>
      <c r="I424" s="26"/>
    </row>
    <row r="425" spans="5:9">
      <c r="E425" s="26"/>
      <c r="F425" s="26"/>
      <c r="G425" s="26"/>
      <c r="H425" s="26"/>
      <c r="I425" s="26"/>
    </row>
    <row r="426" spans="5:9">
      <c r="E426" s="26"/>
      <c r="F426" s="26"/>
      <c r="G426" s="26"/>
      <c r="H426" s="26"/>
      <c r="I426" s="26"/>
    </row>
    <row r="427" spans="5:9">
      <c r="E427" s="26"/>
      <c r="F427" s="26"/>
      <c r="G427" s="26"/>
      <c r="H427" s="26"/>
      <c r="I427" s="26"/>
    </row>
    <row r="428" spans="5:9">
      <c r="E428" s="26"/>
      <c r="F428" s="26"/>
      <c r="G428" s="26"/>
      <c r="H428" s="26"/>
      <c r="I428" s="26"/>
    </row>
    <row r="429" spans="5:9">
      <c r="E429" s="26"/>
      <c r="F429" s="26"/>
      <c r="G429" s="26"/>
      <c r="H429" s="26"/>
      <c r="I429" s="26"/>
    </row>
    <row r="430" spans="5:9">
      <c r="E430" s="26"/>
      <c r="F430" s="26"/>
      <c r="G430" s="26"/>
      <c r="H430" s="26"/>
      <c r="I430" s="26"/>
    </row>
    <row r="431" spans="5:9">
      <c r="E431" s="26"/>
      <c r="F431" s="26"/>
      <c r="G431" s="26"/>
      <c r="H431" s="26"/>
      <c r="I431" s="26"/>
    </row>
    <row r="432" spans="5:9">
      <c r="E432" s="26"/>
      <c r="F432" s="26"/>
      <c r="G432" s="26"/>
      <c r="H432" s="26"/>
      <c r="I432" s="26"/>
    </row>
    <row r="433" spans="5:9">
      <c r="E433" s="26"/>
      <c r="F433" s="26"/>
      <c r="G433" s="26"/>
      <c r="H433" s="26"/>
      <c r="I433" s="26"/>
    </row>
    <row r="434" spans="5:9">
      <c r="E434" s="26"/>
      <c r="F434" s="26"/>
      <c r="G434" s="26"/>
      <c r="H434" s="26"/>
      <c r="I434" s="26"/>
    </row>
    <row r="435" spans="5:9">
      <c r="E435" s="26"/>
      <c r="F435" s="26"/>
      <c r="G435" s="26"/>
      <c r="H435" s="26"/>
      <c r="I435" s="26"/>
    </row>
    <row r="436" spans="5:9">
      <c r="E436" s="26"/>
      <c r="F436" s="26"/>
      <c r="G436" s="26"/>
      <c r="H436" s="26"/>
      <c r="I436" s="26"/>
    </row>
    <row r="437" spans="5:9">
      <c r="E437" s="26"/>
      <c r="F437" s="26"/>
      <c r="G437" s="26"/>
      <c r="H437" s="26"/>
      <c r="I437" s="26"/>
    </row>
    <row r="438" spans="5:9">
      <c r="E438" s="26"/>
      <c r="F438" s="26"/>
      <c r="G438" s="26"/>
      <c r="H438" s="26"/>
      <c r="I438" s="26"/>
    </row>
    <row r="439" spans="5:9">
      <c r="E439" s="26"/>
      <c r="F439" s="26"/>
      <c r="G439" s="26"/>
      <c r="H439" s="26"/>
      <c r="I439" s="26"/>
    </row>
    <row r="440" spans="5:9">
      <c r="E440" s="26"/>
      <c r="F440" s="26"/>
      <c r="G440" s="26"/>
      <c r="H440" s="26"/>
      <c r="I440" s="26"/>
    </row>
    <row r="441" spans="5:9">
      <c r="E441" s="26"/>
      <c r="F441" s="26"/>
      <c r="G441" s="26"/>
      <c r="H441" s="26"/>
      <c r="I441" s="26"/>
    </row>
    <row r="442" spans="5:9">
      <c r="E442" s="26"/>
      <c r="F442" s="26"/>
      <c r="G442" s="26"/>
      <c r="H442" s="26"/>
      <c r="I442" s="26"/>
    </row>
    <row r="443" spans="5:9">
      <c r="E443" s="26"/>
      <c r="F443" s="26"/>
      <c r="G443" s="26"/>
      <c r="H443" s="26"/>
      <c r="I443" s="26"/>
    </row>
    <row r="444" spans="5:9">
      <c r="E444" s="26"/>
      <c r="F444" s="26"/>
      <c r="G444" s="26"/>
      <c r="H444" s="26"/>
      <c r="I444" s="26"/>
    </row>
    <row r="445" spans="5:9">
      <c r="E445" s="26"/>
      <c r="F445" s="26"/>
      <c r="G445" s="26"/>
      <c r="H445" s="26"/>
      <c r="I445" s="26"/>
    </row>
    <row r="446" spans="5:9">
      <c r="E446" s="26"/>
      <c r="F446" s="26"/>
      <c r="G446" s="26"/>
      <c r="H446" s="26"/>
      <c r="I446" s="26"/>
    </row>
    <row r="447" spans="5:9">
      <c r="E447" s="26"/>
      <c r="F447" s="26"/>
      <c r="G447" s="26"/>
      <c r="H447" s="26"/>
      <c r="I447" s="26"/>
    </row>
    <row r="448" spans="5:9">
      <c r="E448" s="26"/>
      <c r="F448" s="26"/>
      <c r="G448" s="26"/>
      <c r="H448" s="26"/>
      <c r="I448" s="26"/>
    </row>
    <row r="449" spans="5:9">
      <c r="E449" s="26"/>
      <c r="F449" s="26"/>
      <c r="G449" s="26"/>
      <c r="H449" s="26"/>
      <c r="I449" s="26"/>
    </row>
    <row r="450" spans="5:9">
      <c r="E450" s="26"/>
      <c r="F450" s="26"/>
      <c r="G450" s="26"/>
      <c r="H450" s="26"/>
      <c r="I450" s="26"/>
    </row>
    <row r="451" spans="5:9">
      <c r="E451" s="26"/>
      <c r="F451" s="26"/>
      <c r="G451" s="26"/>
      <c r="H451" s="26"/>
      <c r="I451" s="26"/>
    </row>
    <row r="452" spans="5:9">
      <c r="E452" s="26"/>
      <c r="F452" s="26"/>
      <c r="G452" s="26"/>
      <c r="H452" s="26"/>
      <c r="I452" s="26"/>
    </row>
    <row r="453" spans="5:9">
      <c r="E453" s="26"/>
      <c r="F453" s="26"/>
      <c r="G453" s="26"/>
      <c r="H453" s="26"/>
      <c r="I453" s="26"/>
    </row>
    <row r="454" spans="5:9">
      <c r="E454" s="26"/>
      <c r="F454" s="26"/>
      <c r="G454" s="26"/>
      <c r="H454" s="26"/>
      <c r="I454" s="26"/>
    </row>
    <row r="455" spans="5:9">
      <c r="E455" s="26"/>
      <c r="F455" s="26"/>
      <c r="G455" s="26"/>
      <c r="H455" s="26"/>
      <c r="I455" s="26"/>
    </row>
    <row r="456" spans="5:9">
      <c r="E456" s="26"/>
      <c r="F456" s="26"/>
      <c r="G456" s="26"/>
      <c r="H456" s="26"/>
      <c r="I456" s="26"/>
    </row>
    <row r="457" spans="5:9">
      <c r="E457" s="26"/>
      <c r="F457" s="26"/>
      <c r="G457" s="26"/>
      <c r="H457" s="26"/>
      <c r="I457" s="26"/>
    </row>
    <row r="458" spans="5:9">
      <c r="E458" s="26"/>
      <c r="F458" s="26"/>
      <c r="G458" s="26"/>
      <c r="H458" s="26"/>
      <c r="I458" s="26"/>
    </row>
    <row r="459" spans="5:9">
      <c r="E459" s="26"/>
      <c r="F459" s="26"/>
      <c r="G459" s="26"/>
      <c r="H459" s="26"/>
      <c r="I459" s="26"/>
    </row>
    <row r="460" spans="5:9">
      <c r="E460" s="26"/>
      <c r="F460" s="26"/>
      <c r="G460" s="26"/>
      <c r="H460" s="26"/>
      <c r="I460" s="26"/>
    </row>
    <row r="461" spans="5:9">
      <c r="E461" s="26"/>
      <c r="F461" s="26"/>
      <c r="G461" s="26"/>
      <c r="H461" s="26"/>
      <c r="I461" s="26"/>
    </row>
    <row r="462" spans="5:9">
      <c r="E462" s="26"/>
      <c r="F462" s="26"/>
      <c r="G462" s="26"/>
      <c r="H462" s="26"/>
      <c r="I462" s="26"/>
    </row>
    <row r="463" spans="5:9">
      <c r="E463" s="26"/>
      <c r="F463" s="26"/>
      <c r="G463" s="26"/>
      <c r="H463" s="26"/>
      <c r="I463" s="26"/>
    </row>
    <row r="464" spans="5:9">
      <c r="E464" s="26"/>
      <c r="F464" s="26"/>
      <c r="G464" s="26"/>
      <c r="H464" s="26"/>
      <c r="I464" s="26"/>
    </row>
    <row r="465" spans="5:9">
      <c r="E465" s="26"/>
      <c r="F465" s="26"/>
      <c r="G465" s="26"/>
      <c r="H465" s="26"/>
      <c r="I465" s="26"/>
    </row>
    <row r="466" spans="5:9">
      <c r="E466" s="26"/>
      <c r="F466" s="26"/>
      <c r="G466" s="26"/>
      <c r="H466" s="26"/>
      <c r="I466" s="26"/>
    </row>
    <row r="467" spans="5:9">
      <c r="E467" s="26"/>
      <c r="F467" s="26"/>
      <c r="G467" s="26"/>
      <c r="H467" s="26"/>
      <c r="I467" s="26"/>
    </row>
    <row r="468" spans="5:9">
      <c r="E468" s="26"/>
      <c r="F468" s="26"/>
      <c r="G468" s="26"/>
      <c r="H468" s="26"/>
      <c r="I468" s="26"/>
    </row>
    <row r="469" spans="5:9">
      <c r="E469" s="26"/>
      <c r="F469" s="26"/>
      <c r="G469" s="26"/>
      <c r="H469" s="26"/>
      <c r="I469" s="26"/>
    </row>
    <row r="470" spans="5:9">
      <c r="E470" s="26"/>
      <c r="F470" s="26"/>
      <c r="G470" s="26"/>
      <c r="H470" s="26"/>
      <c r="I470" s="26"/>
    </row>
    <row r="471" spans="5:9">
      <c r="E471" s="26"/>
      <c r="F471" s="26"/>
      <c r="G471" s="26"/>
      <c r="H471" s="26"/>
      <c r="I471" s="26"/>
    </row>
    <row r="472" spans="5:9">
      <c r="E472" s="26"/>
      <c r="F472" s="26"/>
      <c r="G472" s="26"/>
      <c r="H472" s="26"/>
      <c r="I472" s="26"/>
    </row>
    <row r="473" spans="5:9">
      <c r="E473" s="26"/>
      <c r="F473" s="26"/>
      <c r="G473" s="26"/>
      <c r="H473" s="26"/>
      <c r="I473" s="26"/>
    </row>
    <row r="474" spans="5:9">
      <c r="E474" s="26"/>
      <c r="F474" s="26"/>
      <c r="G474" s="26"/>
      <c r="H474" s="26"/>
      <c r="I474" s="26"/>
    </row>
    <row r="475" spans="5:9">
      <c r="E475" s="26"/>
      <c r="F475" s="26"/>
      <c r="G475" s="26"/>
      <c r="H475" s="26"/>
      <c r="I475" s="26"/>
    </row>
    <row r="476" spans="5:9">
      <c r="E476" s="26"/>
      <c r="F476" s="26"/>
      <c r="G476" s="26"/>
      <c r="H476" s="26"/>
      <c r="I476" s="26"/>
    </row>
    <row r="477" spans="5:9">
      <c r="E477" s="26"/>
      <c r="F477" s="26"/>
      <c r="G477" s="26"/>
      <c r="H477" s="26"/>
      <c r="I477" s="26"/>
    </row>
    <row r="478" spans="5:9">
      <c r="E478" s="26"/>
      <c r="F478" s="26"/>
      <c r="G478" s="26"/>
      <c r="H478" s="26"/>
      <c r="I478" s="26"/>
    </row>
    <row r="479" spans="5:9">
      <c r="E479" s="26"/>
      <c r="F479" s="26"/>
      <c r="G479" s="26"/>
      <c r="H479" s="26"/>
      <c r="I479" s="26"/>
    </row>
    <row r="480" spans="5:9">
      <c r="E480" s="26"/>
      <c r="F480" s="26"/>
      <c r="G480" s="26"/>
      <c r="H480" s="26"/>
      <c r="I480" s="26"/>
    </row>
    <row r="481" spans="5:9">
      <c r="E481" s="26"/>
      <c r="F481" s="26"/>
      <c r="G481" s="26"/>
      <c r="H481" s="26"/>
      <c r="I481" s="26"/>
    </row>
    <row r="482" spans="5:9">
      <c r="E482" s="26"/>
      <c r="F482" s="26"/>
      <c r="G482" s="26"/>
      <c r="H482" s="26"/>
      <c r="I482" s="26"/>
    </row>
    <row r="483" spans="5:9">
      <c r="E483" s="26"/>
      <c r="F483" s="26"/>
      <c r="G483" s="26"/>
      <c r="H483" s="26"/>
      <c r="I483" s="26"/>
    </row>
    <row r="484" spans="5:9">
      <c r="E484" s="26"/>
      <c r="F484" s="26"/>
      <c r="G484" s="26"/>
      <c r="H484" s="26"/>
      <c r="I484" s="26"/>
    </row>
    <row r="485" spans="5:9">
      <c r="E485" s="26"/>
      <c r="F485" s="26"/>
      <c r="G485" s="26"/>
      <c r="H485" s="26"/>
      <c r="I485" s="26"/>
    </row>
    <row r="486" spans="5:9">
      <c r="E486" s="26"/>
      <c r="F486" s="26"/>
      <c r="G486" s="26"/>
      <c r="H486" s="26"/>
      <c r="I486" s="26"/>
    </row>
    <row r="487" spans="5:9">
      <c r="E487" s="26"/>
      <c r="F487" s="26"/>
      <c r="G487" s="26"/>
      <c r="H487" s="26"/>
      <c r="I487" s="26"/>
    </row>
    <row r="488" spans="5:9">
      <c r="E488" s="26"/>
      <c r="F488" s="26"/>
      <c r="G488" s="26"/>
      <c r="H488" s="26"/>
      <c r="I488" s="26"/>
    </row>
    <row r="489" spans="5:9">
      <c r="E489" s="26"/>
      <c r="F489" s="26"/>
      <c r="G489" s="26"/>
      <c r="H489" s="26"/>
      <c r="I489" s="26"/>
    </row>
    <row r="490" spans="5:9">
      <c r="E490" s="26"/>
      <c r="F490" s="26"/>
      <c r="G490" s="26"/>
      <c r="H490" s="26"/>
      <c r="I490" s="26"/>
    </row>
    <row r="491" spans="5:9">
      <c r="E491" s="26"/>
      <c r="F491" s="26"/>
      <c r="G491" s="26"/>
      <c r="H491" s="26"/>
      <c r="I491" s="26"/>
    </row>
    <row r="492" spans="5:9">
      <c r="E492" s="26"/>
      <c r="F492" s="26"/>
      <c r="G492" s="26"/>
      <c r="H492" s="26"/>
      <c r="I492" s="26"/>
    </row>
    <row r="493" spans="5:9">
      <c r="E493" s="26"/>
      <c r="F493" s="26"/>
      <c r="G493" s="26"/>
      <c r="H493" s="26"/>
      <c r="I493" s="26"/>
    </row>
    <row r="494" spans="5:9">
      <c r="E494" s="26"/>
      <c r="F494" s="26"/>
      <c r="G494" s="26"/>
      <c r="H494" s="26"/>
      <c r="I494" s="26"/>
    </row>
    <row r="495" spans="5:9">
      <c r="E495" s="26"/>
      <c r="F495" s="26"/>
      <c r="G495" s="26"/>
      <c r="H495" s="26"/>
      <c r="I495" s="26"/>
    </row>
    <row r="496" spans="5:9">
      <c r="E496" s="26"/>
      <c r="F496" s="26"/>
      <c r="G496" s="26"/>
      <c r="H496" s="26"/>
      <c r="I496" s="26"/>
    </row>
    <row r="497" spans="5:9">
      <c r="E497" s="26"/>
      <c r="F497" s="26"/>
      <c r="G497" s="26"/>
      <c r="H497" s="26"/>
      <c r="I497" s="26"/>
    </row>
    <row r="498" spans="5:9">
      <c r="E498" s="26"/>
      <c r="F498" s="26"/>
      <c r="G498" s="26"/>
      <c r="H498" s="26"/>
      <c r="I498" s="26"/>
    </row>
    <row r="499" spans="5:9">
      <c r="E499" s="26"/>
      <c r="F499" s="26"/>
      <c r="G499" s="26"/>
      <c r="H499" s="26"/>
      <c r="I499" s="26"/>
    </row>
    <row r="500" spans="5:9">
      <c r="E500" s="26"/>
      <c r="F500" s="26"/>
      <c r="G500" s="26"/>
      <c r="H500" s="26"/>
      <c r="I500" s="26"/>
    </row>
    <row r="501" spans="5:9">
      <c r="E501" s="26"/>
      <c r="F501" s="26"/>
      <c r="G501" s="26"/>
      <c r="H501" s="26"/>
      <c r="I501" s="26"/>
    </row>
    <row r="502" spans="5:9">
      <c r="E502" s="26"/>
      <c r="F502" s="26"/>
      <c r="G502" s="26"/>
      <c r="H502" s="26"/>
      <c r="I502" s="26"/>
    </row>
    <row r="503" spans="5:9">
      <c r="E503" s="26"/>
      <c r="F503" s="26"/>
      <c r="G503" s="26"/>
      <c r="H503" s="26"/>
      <c r="I503" s="26"/>
    </row>
    <row r="504" spans="5:9">
      <c r="E504" s="26"/>
      <c r="F504" s="26"/>
      <c r="G504" s="26"/>
      <c r="H504" s="26"/>
      <c r="I504" s="26"/>
    </row>
    <row r="505" spans="5:9">
      <c r="E505" s="26"/>
      <c r="F505" s="26"/>
      <c r="G505" s="26"/>
      <c r="H505" s="26"/>
      <c r="I505" s="26"/>
    </row>
    <row r="506" spans="5:9">
      <c r="E506" s="26"/>
      <c r="F506" s="26"/>
      <c r="G506" s="26"/>
      <c r="H506" s="26"/>
      <c r="I506" s="26"/>
    </row>
    <row r="507" spans="5:9">
      <c r="E507" s="26"/>
      <c r="F507" s="26"/>
      <c r="G507" s="26"/>
      <c r="H507" s="26"/>
      <c r="I507" s="26"/>
    </row>
    <row r="508" spans="5:9">
      <c r="E508" s="26"/>
      <c r="F508" s="26"/>
      <c r="G508" s="26"/>
      <c r="H508" s="26"/>
      <c r="I508" s="26"/>
    </row>
    <row r="509" spans="5:9">
      <c r="E509" s="26"/>
      <c r="F509" s="26"/>
      <c r="G509" s="26"/>
      <c r="H509" s="26"/>
      <c r="I509" s="26"/>
    </row>
    <row r="510" spans="5:9">
      <c r="E510" s="26"/>
      <c r="F510" s="26"/>
      <c r="G510" s="26"/>
      <c r="H510" s="26"/>
      <c r="I510" s="26"/>
    </row>
    <row r="511" spans="5:9">
      <c r="E511" s="26"/>
      <c r="F511" s="26"/>
      <c r="G511" s="26"/>
      <c r="H511" s="26"/>
      <c r="I511" s="26"/>
    </row>
    <row r="512" spans="5:9">
      <c r="E512" s="26"/>
      <c r="F512" s="26"/>
      <c r="G512" s="26"/>
      <c r="H512" s="26"/>
      <c r="I512" s="26"/>
    </row>
    <row r="513" spans="5:9">
      <c r="E513" s="26"/>
      <c r="F513" s="26"/>
      <c r="G513" s="26"/>
      <c r="H513" s="26"/>
      <c r="I513" s="26"/>
    </row>
    <row r="514" spans="5:9">
      <c r="E514" s="26"/>
      <c r="F514" s="26"/>
      <c r="G514" s="26"/>
      <c r="H514" s="26"/>
      <c r="I514" s="26"/>
    </row>
    <row r="515" spans="5:9">
      <c r="E515" s="26"/>
      <c r="F515" s="26"/>
      <c r="G515" s="26"/>
      <c r="H515" s="26"/>
      <c r="I515" s="26"/>
    </row>
    <row r="516" spans="5:9">
      <c r="E516" s="26"/>
      <c r="F516" s="26"/>
      <c r="G516" s="26"/>
      <c r="H516" s="26"/>
      <c r="I516" s="26"/>
    </row>
    <row r="517" spans="5:9">
      <c r="E517" s="26"/>
      <c r="F517" s="26"/>
      <c r="G517" s="26"/>
      <c r="H517" s="26"/>
      <c r="I517" s="26"/>
    </row>
    <row r="518" spans="5:9">
      <c r="E518" s="26"/>
      <c r="F518" s="26"/>
      <c r="G518" s="26"/>
      <c r="H518" s="26"/>
      <c r="I518" s="26"/>
    </row>
    <row r="519" spans="5:9">
      <c r="E519" s="26"/>
      <c r="F519" s="26"/>
      <c r="G519" s="26"/>
      <c r="H519" s="26"/>
      <c r="I519" s="26"/>
    </row>
    <row r="520" spans="5:9">
      <c r="E520" s="26"/>
      <c r="F520" s="26"/>
      <c r="G520" s="26"/>
      <c r="H520" s="26"/>
      <c r="I520" s="26"/>
    </row>
    <row r="521" spans="5:9">
      <c r="E521" s="26"/>
      <c r="F521" s="26"/>
      <c r="G521" s="26"/>
      <c r="H521" s="26"/>
      <c r="I521" s="26"/>
    </row>
    <row r="522" spans="5:9">
      <c r="E522" s="26"/>
      <c r="F522" s="26"/>
      <c r="G522" s="26"/>
      <c r="H522" s="26"/>
      <c r="I522" s="26"/>
    </row>
    <row r="523" spans="5:9">
      <c r="E523" s="26"/>
      <c r="F523" s="26"/>
      <c r="G523" s="26"/>
      <c r="H523" s="26"/>
      <c r="I523" s="26"/>
    </row>
    <row r="524" spans="5:9">
      <c r="E524" s="26"/>
      <c r="F524" s="26"/>
      <c r="G524" s="26"/>
      <c r="H524" s="26"/>
      <c r="I524" s="26"/>
    </row>
    <row r="525" spans="5:9">
      <c r="E525" s="26"/>
      <c r="F525" s="26"/>
      <c r="G525" s="26"/>
      <c r="H525" s="26"/>
      <c r="I525" s="26"/>
    </row>
    <row r="526" spans="5:9">
      <c r="E526" s="26"/>
      <c r="F526" s="26"/>
      <c r="G526" s="26"/>
      <c r="H526" s="26"/>
      <c r="I526" s="26"/>
    </row>
    <row r="527" spans="5:9">
      <c r="E527" s="26"/>
      <c r="F527" s="26"/>
      <c r="G527" s="26"/>
      <c r="H527" s="26"/>
      <c r="I527" s="26"/>
    </row>
    <row r="528" spans="5:9">
      <c r="E528" s="26"/>
      <c r="F528" s="26"/>
      <c r="G528" s="26"/>
      <c r="H528" s="26"/>
      <c r="I528" s="26"/>
    </row>
    <row r="529" spans="5:9">
      <c r="E529" s="26"/>
      <c r="F529" s="26"/>
      <c r="G529" s="26"/>
      <c r="H529" s="26"/>
      <c r="I529" s="26"/>
    </row>
    <row r="530" spans="5:9">
      <c r="E530" s="26"/>
      <c r="F530" s="26"/>
      <c r="G530" s="26"/>
      <c r="H530" s="26"/>
      <c r="I530" s="26"/>
    </row>
    <row r="531" spans="5:9">
      <c r="E531" s="26"/>
      <c r="F531" s="26"/>
      <c r="G531" s="26"/>
      <c r="H531" s="26"/>
      <c r="I531" s="26"/>
    </row>
    <row r="532" spans="5:9">
      <c r="E532" s="26"/>
      <c r="F532" s="26"/>
      <c r="G532" s="26"/>
      <c r="H532" s="26"/>
      <c r="I532" s="26"/>
    </row>
    <row r="533" spans="5:9">
      <c r="E533" s="26"/>
      <c r="F533" s="26"/>
      <c r="G533" s="26"/>
      <c r="H533" s="26"/>
      <c r="I533" s="26"/>
    </row>
    <row r="534" spans="5:9">
      <c r="E534" s="26"/>
      <c r="F534" s="26"/>
      <c r="G534" s="26"/>
      <c r="H534" s="26"/>
      <c r="I534" s="26"/>
    </row>
    <row r="535" spans="5:9">
      <c r="E535" s="26"/>
      <c r="F535" s="26"/>
      <c r="G535" s="26"/>
      <c r="H535" s="26"/>
      <c r="I535" s="26"/>
    </row>
    <row r="536" spans="5:9">
      <c r="E536" s="26"/>
      <c r="F536" s="26"/>
      <c r="G536" s="26"/>
      <c r="H536" s="26"/>
      <c r="I536" s="26"/>
    </row>
    <row r="537" spans="5:9">
      <c r="E537" s="26"/>
      <c r="F537" s="26"/>
      <c r="G537" s="26"/>
      <c r="H537" s="26"/>
      <c r="I537" s="26"/>
    </row>
    <row r="538" spans="5:9">
      <c r="E538" s="26"/>
      <c r="F538" s="26"/>
      <c r="G538" s="26"/>
      <c r="H538" s="26"/>
      <c r="I538" s="26"/>
    </row>
    <row r="539" spans="5:9">
      <c r="E539" s="26"/>
      <c r="F539" s="26"/>
      <c r="G539" s="26"/>
      <c r="H539" s="26"/>
      <c r="I539" s="26"/>
    </row>
    <row r="540" spans="5:9">
      <c r="E540" s="26"/>
      <c r="F540" s="26"/>
      <c r="G540" s="26"/>
      <c r="H540" s="26"/>
      <c r="I540" s="26"/>
    </row>
    <row r="541" spans="5:9">
      <c r="E541" s="26"/>
      <c r="F541" s="26"/>
      <c r="G541" s="26"/>
      <c r="H541" s="26"/>
      <c r="I541" s="26"/>
    </row>
    <row r="542" spans="5:9">
      <c r="E542" s="26"/>
      <c r="F542" s="26"/>
      <c r="G542" s="26"/>
      <c r="H542" s="26"/>
      <c r="I542" s="26"/>
    </row>
    <row r="543" spans="5:9">
      <c r="E543" s="26"/>
      <c r="F543" s="26"/>
      <c r="G543" s="26"/>
      <c r="H543" s="26"/>
      <c r="I543" s="26"/>
    </row>
    <row r="544" spans="5:9">
      <c r="E544" s="26"/>
      <c r="F544" s="26"/>
      <c r="G544" s="26"/>
      <c r="H544" s="26"/>
      <c r="I544" s="26"/>
    </row>
    <row r="545" spans="5:9">
      <c r="E545" s="26"/>
      <c r="F545" s="26"/>
      <c r="G545" s="26"/>
      <c r="H545" s="26"/>
      <c r="I545" s="26"/>
    </row>
    <row r="546" spans="5:9">
      <c r="E546" s="26"/>
      <c r="F546" s="26"/>
      <c r="G546" s="26"/>
      <c r="H546" s="26"/>
      <c r="I546" s="26"/>
    </row>
    <row r="547" spans="5:9">
      <c r="E547" s="26"/>
      <c r="F547" s="26"/>
      <c r="G547" s="26"/>
      <c r="H547" s="26"/>
      <c r="I547" s="26"/>
    </row>
    <row r="548" spans="5:9">
      <c r="E548" s="26"/>
      <c r="F548" s="26"/>
      <c r="G548" s="26"/>
      <c r="H548" s="26"/>
      <c r="I548" s="26"/>
    </row>
    <row r="549" spans="5:9">
      <c r="E549" s="26"/>
      <c r="F549" s="26"/>
      <c r="G549" s="26"/>
      <c r="H549" s="26"/>
      <c r="I549" s="26"/>
    </row>
    <row r="550" spans="5:9">
      <c r="E550" s="26"/>
      <c r="F550" s="26"/>
      <c r="G550" s="26"/>
      <c r="H550" s="26"/>
      <c r="I550" s="26"/>
    </row>
    <row r="551" spans="5:9">
      <c r="E551" s="26"/>
      <c r="F551" s="26"/>
      <c r="G551" s="26"/>
      <c r="H551" s="26"/>
      <c r="I551" s="26"/>
    </row>
    <row r="552" spans="5:9">
      <c r="E552" s="26"/>
      <c r="F552" s="26"/>
      <c r="G552" s="26"/>
      <c r="H552" s="26"/>
      <c r="I552" s="26"/>
    </row>
    <row r="553" spans="5:9">
      <c r="E553" s="26"/>
      <c r="F553" s="26"/>
      <c r="G553" s="26"/>
      <c r="H553" s="26"/>
      <c r="I553" s="26"/>
    </row>
    <row r="554" spans="5:9">
      <c r="E554" s="26"/>
      <c r="F554" s="26"/>
      <c r="G554" s="26"/>
      <c r="H554" s="26"/>
      <c r="I554" s="26"/>
    </row>
    <row r="555" spans="5:9">
      <c r="E555" s="26"/>
      <c r="F555" s="26"/>
      <c r="G555" s="26"/>
      <c r="H555" s="26"/>
      <c r="I555" s="26"/>
    </row>
    <row r="556" spans="5:9">
      <c r="E556" s="26"/>
      <c r="F556" s="26"/>
      <c r="G556" s="26"/>
      <c r="H556" s="26"/>
      <c r="I556" s="26"/>
    </row>
    <row r="557" spans="5:9">
      <c r="E557" s="26"/>
      <c r="F557" s="26"/>
      <c r="G557" s="26"/>
      <c r="H557" s="26"/>
      <c r="I557" s="26"/>
    </row>
    <row r="558" spans="5:9">
      <c r="E558" s="26"/>
      <c r="F558" s="26"/>
      <c r="G558" s="26"/>
      <c r="H558" s="26"/>
      <c r="I558" s="26"/>
    </row>
    <row r="559" spans="5:9">
      <c r="E559" s="26"/>
      <c r="F559" s="26"/>
      <c r="G559" s="26"/>
      <c r="H559" s="26"/>
      <c r="I559" s="26"/>
    </row>
    <row r="560" spans="5:9">
      <c r="E560" s="26"/>
      <c r="F560" s="26"/>
      <c r="G560" s="26"/>
      <c r="H560" s="26"/>
      <c r="I560" s="26"/>
    </row>
    <row r="561" spans="5:9">
      <c r="E561" s="26"/>
      <c r="F561" s="26"/>
      <c r="G561" s="26"/>
      <c r="H561" s="26"/>
      <c r="I561" s="26"/>
    </row>
    <row r="562" spans="5:9">
      <c r="E562" s="26"/>
      <c r="F562" s="26"/>
      <c r="G562" s="26"/>
      <c r="H562" s="26"/>
      <c r="I562" s="26"/>
    </row>
    <row r="563" spans="5:9">
      <c r="E563" s="26"/>
      <c r="F563" s="26"/>
      <c r="G563" s="26"/>
      <c r="H563" s="26"/>
      <c r="I563" s="26"/>
    </row>
    <row r="564" spans="5:9">
      <c r="E564" s="26"/>
      <c r="F564" s="26"/>
      <c r="G564" s="26"/>
      <c r="H564" s="26"/>
      <c r="I564" s="26"/>
    </row>
    <row r="565" spans="5:9">
      <c r="E565" s="26"/>
      <c r="F565" s="26"/>
      <c r="G565" s="26"/>
      <c r="H565" s="26"/>
      <c r="I565" s="26"/>
    </row>
    <row r="566" spans="5:9">
      <c r="E566" s="26"/>
      <c r="F566" s="26"/>
      <c r="G566" s="26"/>
      <c r="H566" s="26"/>
      <c r="I566" s="26"/>
    </row>
    <row r="567" spans="5:9">
      <c r="E567" s="26"/>
      <c r="F567" s="26"/>
      <c r="G567" s="26"/>
      <c r="H567" s="26"/>
      <c r="I567" s="26"/>
    </row>
    <row r="568" spans="5:9">
      <c r="E568" s="26"/>
      <c r="F568" s="26"/>
      <c r="G568" s="26"/>
      <c r="H568" s="26"/>
      <c r="I568" s="26"/>
    </row>
    <row r="569" spans="5:9">
      <c r="E569" s="26"/>
      <c r="F569" s="26"/>
      <c r="G569" s="26"/>
      <c r="H569" s="26"/>
      <c r="I569" s="26"/>
    </row>
    <row r="570" spans="5:9">
      <c r="E570" s="26"/>
      <c r="F570" s="26"/>
      <c r="G570" s="26"/>
      <c r="H570" s="26"/>
      <c r="I570" s="26"/>
    </row>
    <row r="571" spans="5:9">
      <c r="E571" s="26"/>
      <c r="F571" s="26"/>
      <c r="G571" s="26"/>
      <c r="H571" s="26"/>
      <c r="I571" s="26"/>
    </row>
    <row r="572" spans="5:9">
      <c r="E572" s="26"/>
      <c r="F572" s="26"/>
      <c r="G572" s="26"/>
      <c r="H572" s="26"/>
      <c r="I572" s="26"/>
    </row>
    <row r="573" spans="5:9">
      <c r="E573" s="26"/>
      <c r="F573" s="26"/>
      <c r="G573" s="26"/>
      <c r="H573" s="26"/>
      <c r="I573" s="26"/>
    </row>
    <row r="574" spans="5:9">
      <c r="E574" s="26"/>
      <c r="F574" s="26"/>
      <c r="G574" s="26"/>
      <c r="H574" s="26"/>
      <c r="I574" s="26"/>
    </row>
    <row r="575" spans="5:9">
      <c r="E575" s="26"/>
      <c r="F575" s="26"/>
      <c r="G575" s="26"/>
      <c r="H575" s="26"/>
      <c r="I575" s="26"/>
    </row>
    <row r="576" spans="5:9">
      <c r="E576" s="26"/>
      <c r="F576" s="26"/>
      <c r="G576" s="26"/>
      <c r="H576" s="26"/>
      <c r="I576" s="26"/>
    </row>
    <row r="577" spans="5:9">
      <c r="E577" s="26"/>
      <c r="F577" s="26"/>
      <c r="G577" s="26"/>
      <c r="H577" s="26"/>
      <c r="I577" s="26"/>
    </row>
    <row r="578" spans="5:9">
      <c r="E578" s="26"/>
      <c r="F578" s="26"/>
      <c r="G578" s="26"/>
      <c r="H578" s="26"/>
      <c r="I578" s="26"/>
    </row>
    <row r="579" spans="5:9">
      <c r="E579" s="26"/>
      <c r="F579" s="26"/>
      <c r="G579" s="26"/>
      <c r="H579" s="26"/>
      <c r="I579" s="26"/>
    </row>
    <row r="580" spans="5:9">
      <c r="E580" s="26"/>
      <c r="F580" s="26"/>
      <c r="G580" s="26"/>
      <c r="H580" s="26"/>
      <c r="I580" s="26"/>
    </row>
    <row r="581" spans="5:9">
      <c r="E581" s="26"/>
      <c r="F581" s="26"/>
      <c r="G581" s="26"/>
      <c r="H581" s="26"/>
      <c r="I581" s="26"/>
    </row>
    <row r="582" spans="5:9">
      <c r="E582" s="26"/>
      <c r="F582" s="26"/>
      <c r="G582" s="26"/>
      <c r="H582" s="26"/>
      <c r="I582" s="26"/>
    </row>
    <row r="583" spans="5:9">
      <c r="E583" s="26"/>
      <c r="F583" s="26"/>
      <c r="G583" s="26"/>
      <c r="H583" s="26"/>
      <c r="I583" s="26"/>
    </row>
    <row r="584" spans="5:9">
      <c r="E584" s="26"/>
      <c r="F584" s="26"/>
      <c r="G584" s="26"/>
      <c r="H584" s="26"/>
      <c r="I584" s="26"/>
    </row>
    <row r="585" spans="5:9">
      <c r="E585" s="26"/>
      <c r="F585" s="26"/>
      <c r="G585" s="26"/>
      <c r="H585" s="26"/>
      <c r="I585" s="26"/>
    </row>
    <row r="586" spans="5:9">
      <c r="E586" s="26"/>
      <c r="F586" s="26"/>
      <c r="G586" s="26"/>
      <c r="H586" s="26"/>
      <c r="I586" s="26"/>
    </row>
    <row r="587" spans="5:9">
      <c r="E587" s="26"/>
      <c r="F587" s="26"/>
      <c r="G587" s="26"/>
      <c r="H587" s="26"/>
      <c r="I587" s="26"/>
    </row>
    <row r="588" spans="5:9">
      <c r="E588" s="26"/>
      <c r="F588" s="26"/>
      <c r="G588" s="26"/>
      <c r="H588" s="26"/>
      <c r="I588" s="26"/>
    </row>
    <row r="589" spans="5:9">
      <c r="E589" s="26"/>
      <c r="F589" s="26"/>
      <c r="G589" s="26"/>
      <c r="H589" s="26"/>
      <c r="I589" s="26"/>
    </row>
    <row r="590" spans="5:9">
      <c r="E590" s="26"/>
      <c r="F590" s="26"/>
      <c r="G590" s="26"/>
      <c r="H590" s="26"/>
      <c r="I590" s="26"/>
    </row>
    <row r="591" spans="5:9">
      <c r="E591" s="26"/>
      <c r="F591" s="26"/>
      <c r="G591" s="26"/>
      <c r="H591" s="26"/>
      <c r="I591" s="26"/>
    </row>
    <row r="592" spans="5:9">
      <c r="E592" s="26"/>
      <c r="F592" s="26"/>
      <c r="G592" s="26"/>
      <c r="H592" s="26"/>
      <c r="I592" s="26"/>
    </row>
    <row r="593" spans="5:9">
      <c r="E593" s="26"/>
      <c r="F593" s="26"/>
      <c r="G593" s="26"/>
      <c r="H593" s="26"/>
      <c r="I593" s="26"/>
    </row>
    <row r="594" spans="5:9">
      <c r="E594" s="26"/>
      <c r="F594" s="26"/>
      <c r="G594" s="26"/>
      <c r="H594" s="26"/>
      <c r="I594" s="26"/>
    </row>
    <row r="595" spans="5:9">
      <c r="E595" s="26"/>
      <c r="F595" s="26"/>
      <c r="G595" s="26"/>
      <c r="H595" s="26"/>
      <c r="I595" s="26"/>
    </row>
    <row r="596" spans="5:9">
      <c r="E596" s="26"/>
      <c r="F596" s="26"/>
      <c r="G596" s="26"/>
      <c r="H596" s="26"/>
      <c r="I596" s="26"/>
    </row>
    <row r="597" spans="5:9">
      <c r="E597" s="26"/>
      <c r="F597" s="26"/>
      <c r="G597" s="26"/>
      <c r="H597" s="26"/>
      <c r="I597" s="26"/>
    </row>
    <row r="598" spans="5:9">
      <c r="E598" s="26"/>
      <c r="F598" s="26"/>
      <c r="G598" s="26"/>
      <c r="H598" s="26"/>
      <c r="I598" s="26"/>
    </row>
    <row r="599" spans="5:9">
      <c r="E599" s="26"/>
      <c r="F599" s="26"/>
      <c r="G599" s="26"/>
      <c r="H599" s="26"/>
      <c r="I599" s="26"/>
    </row>
    <row r="600" spans="5:9">
      <c r="E600" s="26"/>
      <c r="F600" s="26"/>
      <c r="G600" s="26"/>
      <c r="H600" s="26"/>
      <c r="I600" s="26"/>
    </row>
    <row r="601" spans="5:9">
      <c r="E601" s="26"/>
      <c r="F601" s="26"/>
      <c r="G601" s="26"/>
      <c r="H601" s="26"/>
      <c r="I601" s="26"/>
    </row>
    <row r="602" spans="5:9">
      <c r="E602" s="26"/>
      <c r="F602" s="26"/>
      <c r="G602" s="26"/>
      <c r="H602" s="26"/>
      <c r="I602" s="26"/>
    </row>
    <row r="603" spans="5:9">
      <c r="E603" s="26"/>
      <c r="F603" s="26"/>
      <c r="G603" s="26"/>
      <c r="H603" s="26"/>
      <c r="I603" s="26"/>
    </row>
    <row r="604" spans="5:9">
      <c r="E604" s="26"/>
      <c r="F604" s="26"/>
      <c r="G604" s="26"/>
      <c r="H604" s="26"/>
      <c r="I604" s="26"/>
    </row>
    <row r="605" spans="5:9">
      <c r="E605" s="26"/>
      <c r="F605" s="26"/>
      <c r="G605" s="26"/>
      <c r="H605" s="26"/>
      <c r="I605" s="26"/>
    </row>
    <row r="606" spans="5:9">
      <c r="E606" s="26"/>
      <c r="F606" s="26"/>
      <c r="G606" s="26"/>
      <c r="H606" s="26"/>
      <c r="I606" s="26"/>
    </row>
    <row r="607" spans="5:9">
      <c r="E607" s="26"/>
      <c r="F607" s="26"/>
      <c r="G607" s="26"/>
      <c r="H607" s="26"/>
      <c r="I607" s="26"/>
    </row>
    <row r="608" spans="5:9">
      <c r="E608" s="26"/>
      <c r="F608" s="26"/>
      <c r="G608" s="26"/>
      <c r="H608" s="26"/>
      <c r="I608" s="26"/>
    </row>
    <row r="609" spans="5:9">
      <c r="E609" s="26"/>
      <c r="F609" s="26"/>
      <c r="G609" s="26"/>
      <c r="H609" s="26"/>
      <c r="I609" s="26"/>
    </row>
    <row r="610" spans="5:9">
      <c r="E610" s="26"/>
      <c r="F610" s="26"/>
      <c r="G610" s="26"/>
      <c r="H610" s="26"/>
      <c r="I610" s="26"/>
    </row>
    <row r="611" spans="5:9">
      <c r="E611" s="26"/>
      <c r="F611" s="26"/>
      <c r="G611" s="26"/>
      <c r="H611" s="26"/>
      <c r="I611" s="26"/>
    </row>
    <row r="612" spans="5:9">
      <c r="E612" s="26"/>
      <c r="F612" s="26"/>
      <c r="G612" s="26"/>
      <c r="H612" s="26"/>
      <c r="I612" s="26"/>
    </row>
    <row r="613" spans="5:9">
      <c r="E613" s="26"/>
      <c r="F613" s="26"/>
      <c r="G613" s="26"/>
      <c r="H613" s="26"/>
      <c r="I613" s="26"/>
    </row>
    <row r="614" spans="5:9">
      <c r="E614" s="26"/>
      <c r="F614" s="26"/>
      <c r="G614" s="26"/>
      <c r="H614" s="26"/>
      <c r="I614" s="26"/>
    </row>
    <row r="615" spans="5:9">
      <c r="E615" s="26"/>
      <c r="F615" s="26"/>
      <c r="G615" s="26"/>
      <c r="H615" s="26"/>
      <c r="I615" s="26"/>
    </row>
    <row r="616" spans="5:9">
      <c r="E616" s="26"/>
      <c r="F616" s="26"/>
      <c r="G616" s="26"/>
      <c r="H616" s="26"/>
      <c r="I616" s="26"/>
    </row>
    <row r="617" spans="5:9">
      <c r="E617" s="26"/>
      <c r="F617" s="26"/>
      <c r="G617" s="26"/>
      <c r="H617" s="26"/>
      <c r="I617" s="26"/>
    </row>
    <row r="618" spans="5:9">
      <c r="E618" s="26"/>
      <c r="F618" s="26"/>
      <c r="G618" s="26"/>
      <c r="H618" s="26"/>
      <c r="I618" s="26"/>
    </row>
    <row r="619" spans="5:9">
      <c r="E619" s="26"/>
      <c r="F619" s="26"/>
      <c r="G619" s="26"/>
      <c r="H619" s="26"/>
      <c r="I619" s="26"/>
    </row>
    <row r="620" spans="5:9">
      <c r="E620" s="26"/>
      <c r="F620" s="26"/>
      <c r="G620" s="26"/>
      <c r="H620" s="26"/>
      <c r="I620" s="26"/>
    </row>
    <row r="621" spans="5:9">
      <c r="E621" s="26"/>
      <c r="F621" s="26"/>
      <c r="G621" s="26"/>
      <c r="H621" s="26"/>
      <c r="I621" s="26"/>
    </row>
    <row r="622" spans="5:9">
      <c r="E622" s="26"/>
      <c r="F622" s="26"/>
      <c r="G622" s="26"/>
      <c r="H622" s="26"/>
      <c r="I622" s="26"/>
    </row>
    <row r="623" spans="5:9">
      <c r="E623" s="26"/>
      <c r="F623" s="26"/>
      <c r="G623" s="26"/>
      <c r="H623" s="26"/>
      <c r="I623" s="26"/>
    </row>
    <row r="624" spans="5:9">
      <c r="E624" s="26"/>
      <c r="F624" s="26"/>
      <c r="G624" s="26"/>
      <c r="H624" s="26"/>
      <c r="I624" s="26"/>
    </row>
    <row r="625" spans="5:9">
      <c r="E625" s="26"/>
      <c r="F625" s="26"/>
      <c r="G625" s="26"/>
      <c r="H625" s="26"/>
      <c r="I625" s="26"/>
    </row>
    <row r="626" spans="5:9">
      <c r="E626" s="26"/>
      <c r="F626" s="26"/>
      <c r="G626" s="26"/>
      <c r="H626" s="26"/>
      <c r="I626" s="26"/>
    </row>
    <row r="627" spans="5:9">
      <c r="E627" s="26"/>
      <c r="F627" s="26"/>
      <c r="G627" s="26"/>
      <c r="H627" s="26"/>
      <c r="I627" s="26"/>
    </row>
    <row r="628" spans="5:9">
      <c r="E628" s="26"/>
      <c r="F628" s="26"/>
      <c r="G628" s="26"/>
      <c r="H628" s="26"/>
      <c r="I628" s="26"/>
    </row>
    <row r="629" spans="5:9">
      <c r="E629" s="26"/>
      <c r="F629" s="26"/>
      <c r="G629" s="26"/>
      <c r="H629" s="26"/>
      <c r="I629" s="26"/>
    </row>
    <row r="630" spans="5:9">
      <c r="E630" s="26"/>
      <c r="F630" s="26"/>
      <c r="G630" s="26"/>
      <c r="H630" s="26"/>
      <c r="I630" s="26"/>
    </row>
    <row r="631" spans="5:9">
      <c r="E631" s="26"/>
      <c r="F631" s="26"/>
      <c r="G631" s="26"/>
      <c r="H631" s="26"/>
      <c r="I631" s="26"/>
    </row>
    <row r="632" spans="5:9">
      <c r="E632" s="26"/>
      <c r="F632" s="26"/>
      <c r="G632" s="26"/>
      <c r="H632" s="26"/>
      <c r="I632" s="26"/>
    </row>
    <row r="633" spans="5:9">
      <c r="E633" s="26"/>
      <c r="F633" s="26"/>
      <c r="G633" s="26"/>
      <c r="H633" s="26"/>
      <c r="I633" s="26"/>
    </row>
    <row r="634" spans="5:9">
      <c r="E634" s="26"/>
      <c r="F634" s="26"/>
      <c r="G634" s="26"/>
      <c r="H634" s="26"/>
      <c r="I634" s="26"/>
    </row>
    <row r="635" spans="5:9">
      <c r="E635" s="26"/>
      <c r="F635" s="26"/>
      <c r="G635" s="26"/>
      <c r="H635" s="26"/>
      <c r="I635" s="26"/>
    </row>
    <row r="636" spans="5:9">
      <c r="E636" s="26"/>
      <c r="F636" s="26"/>
      <c r="G636" s="26"/>
      <c r="H636" s="26"/>
      <c r="I636" s="26"/>
    </row>
    <row r="637" spans="5:9">
      <c r="E637" s="26"/>
      <c r="F637" s="26"/>
      <c r="G637" s="26"/>
      <c r="H637" s="26"/>
      <c r="I637" s="26"/>
    </row>
    <row r="638" spans="5:9">
      <c r="E638" s="26"/>
      <c r="F638" s="26"/>
      <c r="G638" s="26"/>
      <c r="H638" s="26"/>
      <c r="I638" s="26"/>
    </row>
    <row r="639" spans="5:9">
      <c r="E639" s="26"/>
      <c r="F639" s="26"/>
      <c r="G639" s="26"/>
      <c r="H639" s="26"/>
      <c r="I639" s="26"/>
    </row>
    <row r="640" spans="5:9">
      <c r="E640" s="26"/>
      <c r="F640" s="26"/>
      <c r="G640" s="26"/>
      <c r="H640" s="26"/>
      <c r="I640" s="26"/>
    </row>
    <row r="641" spans="5:9">
      <c r="E641" s="26"/>
      <c r="F641" s="26"/>
      <c r="G641" s="26"/>
      <c r="H641" s="26"/>
      <c r="I641" s="26"/>
    </row>
    <row r="642" spans="5:9">
      <c r="E642" s="26"/>
      <c r="F642" s="26"/>
      <c r="G642" s="26"/>
      <c r="H642" s="26"/>
      <c r="I642" s="26"/>
    </row>
    <row r="643" spans="5:9">
      <c r="E643" s="26"/>
      <c r="F643" s="26"/>
      <c r="G643" s="26"/>
      <c r="H643" s="26"/>
      <c r="I643" s="26"/>
    </row>
    <row r="644" spans="5:9">
      <c r="E644" s="26"/>
      <c r="F644" s="26"/>
      <c r="G644" s="26"/>
      <c r="H644" s="26"/>
      <c r="I644" s="26"/>
    </row>
    <row r="645" spans="5:9">
      <c r="E645" s="26"/>
      <c r="F645" s="26"/>
      <c r="G645" s="26"/>
      <c r="H645" s="26"/>
      <c r="I645" s="26"/>
    </row>
    <row r="646" spans="5:9">
      <c r="E646" s="26"/>
      <c r="F646" s="26"/>
      <c r="G646" s="26"/>
      <c r="H646" s="26"/>
      <c r="I646" s="26"/>
    </row>
    <row r="647" spans="5:9">
      <c r="E647" s="26"/>
      <c r="F647" s="26"/>
      <c r="G647" s="26"/>
      <c r="H647" s="26"/>
      <c r="I647" s="26"/>
    </row>
    <row r="648" spans="5:9">
      <c r="E648" s="26"/>
      <c r="F648" s="26"/>
      <c r="G648" s="26"/>
      <c r="H648" s="26"/>
      <c r="I648" s="26"/>
    </row>
    <row r="649" spans="5:9">
      <c r="E649" s="26"/>
      <c r="F649" s="26"/>
      <c r="G649" s="26"/>
      <c r="H649" s="26"/>
      <c r="I649" s="26"/>
    </row>
    <row r="650" spans="5:9">
      <c r="E650" s="26"/>
      <c r="F650" s="26"/>
      <c r="G650" s="26"/>
      <c r="H650" s="26"/>
      <c r="I650" s="26"/>
    </row>
    <row r="651" spans="5:9">
      <c r="E651" s="26"/>
      <c r="F651" s="26"/>
      <c r="G651" s="26"/>
      <c r="H651" s="26"/>
      <c r="I651" s="26"/>
    </row>
    <row r="652" spans="5:9">
      <c r="E652" s="26"/>
      <c r="F652" s="26"/>
      <c r="G652" s="26"/>
      <c r="H652" s="26"/>
      <c r="I652" s="26"/>
    </row>
    <row r="653" spans="5:9">
      <c r="E653" s="26"/>
      <c r="F653" s="26"/>
      <c r="G653" s="26"/>
      <c r="H653" s="26"/>
      <c r="I653" s="26"/>
    </row>
    <row r="654" spans="5:9">
      <c r="E654" s="26"/>
      <c r="F654" s="26"/>
      <c r="G654" s="26"/>
      <c r="H654" s="26"/>
      <c r="I654" s="26"/>
    </row>
    <row r="655" spans="5:9">
      <c r="E655" s="26"/>
      <c r="F655" s="26"/>
      <c r="G655" s="26"/>
      <c r="H655" s="26"/>
      <c r="I655" s="26"/>
    </row>
    <row r="656" spans="5:9">
      <c r="E656" s="26"/>
      <c r="F656" s="26"/>
      <c r="G656" s="26"/>
      <c r="H656" s="26"/>
      <c r="I656" s="26"/>
    </row>
    <row r="657" spans="5:9">
      <c r="E657" s="26"/>
      <c r="F657" s="26"/>
      <c r="G657" s="26"/>
      <c r="H657" s="26"/>
      <c r="I657" s="26"/>
    </row>
    <row r="658" spans="5:9">
      <c r="E658" s="26"/>
      <c r="F658" s="26"/>
      <c r="G658" s="26"/>
      <c r="H658" s="26"/>
      <c r="I658" s="26"/>
    </row>
    <row r="659" spans="5:9">
      <c r="E659" s="26"/>
      <c r="F659" s="26"/>
      <c r="G659" s="26"/>
      <c r="H659" s="26"/>
      <c r="I659" s="26"/>
    </row>
    <row r="660" spans="5:9">
      <c r="E660" s="26"/>
      <c r="F660" s="26"/>
      <c r="G660" s="26"/>
      <c r="H660" s="26"/>
      <c r="I660" s="26"/>
    </row>
    <row r="661" spans="5:9">
      <c r="E661" s="26"/>
      <c r="F661" s="26"/>
      <c r="G661" s="26"/>
      <c r="H661" s="26"/>
      <c r="I661" s="26"/>
    </row>
    <row r="662" spans="5:9">
      <c r="E662" s="26"/>
      <c r="F662" s="26"/>
      <c r="G662" s="26"/>
      <c r="H662" s="26"/>
      <c r="I662" s="26"/>
    </row>
    <row r="663" spans="5:9">
      <c r="E663" s="26"/>
      <c r="F663" s="26"/>
      <c r="G663" s="26"/>
      <c r="H663" s="26"/>
      <c r="I663" s="26"/>
    </row>
    <row r="664" spans="5:9">
      <c r="E664" s="26"/>
      <c r="F664" s="26"/>
      <c r="G664" s="26"/>
      <c r="H664" s="26"/>
      <c r="I664" s="26"/>
    </row>
    <row r="665" spans="5:9">
      <c r="E665" s="26"/>
      <c r="F665" s="26"/>
      <c r="G665" s="26"/>
      <c r="H665" s="26"/>
      <c r="I665" s="26"/>
    </row>
    <row r="666" spans="5:9">
      <c r="E666" s="26"/>
      <c r="F666" s="26"/>
      <c r="G666" s="26"/>
      <c r="H666" s="26"/>
      <c r="I666" s="26"/>
    </row>
    <row r="667" spans="5:9">
      <c r="E667" s="26"/>
      <c r="F667" s="26"/>
      <c r="G667" s="26"/>
      <c r="H667" s="26"/>
      <c r="I667" s="26"/>
    </row>
    <row r="668" spans="5:9">
      <c r="E668" s="26"/>
      <c r="F668" s="26"/>
      <c r="G668" s="26"/>
      <c r="H668" s="26"/>
      <c r="I668" s="26"/>
    </row>
    <row r="669" spans="5:9">
      <c r="E669" s="26"/>
      <c r="F669" s="26"/>
      <c r="G669" s="26"/>
      <c r="H669" s="26"/>
      <c r="I669" s="26"/>
    </row>
    <row r="670" spans="5:9">
      <c r="E670" s="26"/>
      <c r="F670" s="26"/>
      <c r="G670" s="26"/>
      <c r="H670" s="26"/>
      <c r="I670" s="26"/>
    </row>
    <row r="671" spans="5:9">
      <c r="E671" s="26"/>
      <c r="F671" s="26"/>
      <c r="G671" s="26"/>
      <c r="H671" s="26"/>
      <c r="I671" s="26"/>
    </row>
    <row r="672" spans="5:9">
      <c r="E672" s="26"/>
      <c r="F672" s="26"/>
      <c r="G672" s="26"/>
      <c r="H672" s="26"/>
      <c r="I672" s="26"/>
    </row>
    <row r="673" spans="5:9">
      <c r="E673" s="26"/>
      <c r="F673" s="26"/>
      <c r="G673" s="26"/>
      <c r="H673" s="26"/>
      <c r="I673" s="26"/>
    </row>
    <row r="674" spans="5:9">
      <c r="E674" s="26"/>
      <c r="F674" s="26"/>
      <c r="G674" s="26"/>
      <c r="H674" s="26"/>
      <c r="I674" s="26"/>
    </row>
    <row r="675" spans="5:9">
      <c r="E675" s="26"/>
      <c r="F675" s="26"/>
      <c r="G675" s="26"/>
      <c r="H675" s="26"/>
      <c r="I675" s="26"/>
    </row>
    <row r="676" spans="5:9">
      <c r="E676" s="26"/>
      <c r="F676" s="26"/>
      <c r="G676" s="26"/>
      <c r="H676" s="26"/>
      <c r="I676" s="26"/>
    </row>
    <row r="677" spans="5:9">
      <c r="E677" s="26"/>
      <c r="F677" s="26"/>
      <c r="G677" s="26"/>
      <c r="H677" s="26"/>
      <c r="I677" s="26"/>
    </row>
    <row r="678" spans="5:9">
      <c r="E678" s="26"/>
      <c r="F678" s="26"/>
      <c r="G678" s="26"/>
      <c r="H678" s="26"/>
      <c r="I678" s="26"/>
    </row>
    <row r="679" spans="5:9">
      <c r="E679" s="26"/>
      <c r="F679" s="26"/>
      <c r="G679" s="26"/>
      <c r="H679" s="26"/>
      <c r="I679" s="26"/>
    </row>
    <row r="680" spans="5:9">
      <c r="E680" s="26"/>
      <c r="F680" s="26"/>
      <c r="G680" s="26"/>
      <c r="H680" s="26"/>
      <c r="I680" s="26"/>
    </row>
    <row r="681" spans="5:9">
      <c r="E681" s="26"/>
      <c r="F681" s="26"/>
      <c r="G681" s="26"/>
      <c r="H681" s="26"/>
      <c r="I681" s="26"/>
    </row>
    <row r="682" spans="5:9">
      <c r="E682" s="26"/>
      <c r="F682" s="26"/>
      <c r="G682" s="26"/>
      <c r="H682" s="26"/>
      <c r="I682" s="26"/>
    </row>
    <row r="683" spans="5:9">
      <c r="E683" s="26"/>
      <c r="F683" s="26"/>
      <c r="G683" s="26"/>
      <c r="H683" s="26"/>
      <c r="I683" s="26"/>
    </row>
    <row r="684" spans="5:9">
      <c r="E684" s="26"/>
      <c r="F684" s="26"/>
      <c r="G684" s="26"/>
      <c r="H684" s="26"/>
      <c r="I684" s="26"/>
    </row>
    <row r="685" spans="5:9">
      <c r="E685" s="26"/>
      <c r="F685" s="26"/>
      <c r="G685" s="26"/>
      <c r="H685" s="26"/>
      <c r="I685" s="26"/>
    </row>
    <row r="686" spans="5:9">
      <c r="E686" s="26"/>
      <c r="F686" s="26"/>
      <c r="G686" s="26"/>
      <c r="H686" s="26"/>
      <c r="I686" s="26"/>
    </row>
    <row r="687" spans="5:9">
      <c r="E687" s="26"/>
      <c r="F687" s="26"/>
      <c r="G687" s="26"/>
      <c r="H687" s="26"/>
      <c r="I687" s="26"/>
    </row>
    <row r="688" spans="5:9">
      <c r="E688" s="26"/>
      <c r="F688" s="26"/>
      <c r="G688" s="26"/>
      <c r="H688" s="26"/>
      <c r="I688" s="26"/>
    </row>
    <row r="689" spans="5:9">
      <c r="E689" s="26"/>
      <c r="F689" s="26"/>
      <c r="G689" s="26"/>
      <c r="H689" s="26"/>
      <c r="I689" s="26"/>
    </row>
    <row r="690" spans="5:9">
      <c r="E690" s="26"/>
      <c r="F690" s="26"/>
      <c r="G690" s="26"/>
      <c r="H690" s="26"/>
      <c r="I690" s="26"/>
    </row>
    <row r="691" spans="5:9">
      <c r="E691" s="26"/>
      <c r="F691" s="26"/>
      <c r="G691" s="26"/>
      <c r="H691" s="26"/>
      <c r="I691" s="26"/>
    </row>
    <row r="692" spans="5:9">
      <c r="E692" s="26"/>
      <c r="F692" s="26"/>
      <c r="G692" s="26"/>
      <c r="H692" s="26"/>
      <c r="I692" s="26"/>
    </row>
    <row r="693" spans="5:9">
      <c r="E693" s="26"/>
      <c r="F693" s="26"/>
      <c r="G693" s="26"/>
      <c r="H693" s="26"/>
      <c r="I693" s="26"/>
    </row>
    <row r="694" spans="5:9">
      <c r="E694" s="26"/>
      <c r="F694" s="26"/>
      <c r="G694" s="26"/>
      <c r="H694" s="26"/>
      <c r="I694" s="26"/>
    </row>
    <row r="695" spans="5:9">
      <c r="E695" s="26"/>
      <c r="F695" s="26"/>
      <c r="G695" s="26"/>
      <c r="H695" s="26"/>
      <c r="I695" s="26"/>
    </row>
    <row r="696" spans="5:9">
      <c r="E696" s="26"/>
      <c r="F696" s="26"/>
      <c r="G696" s="26"/>
      <c r="H696" s="26"/>
      <c r="I696" s="26"/>
    </row>
    <row r="697" spans="5:9">
      <c r="E697" s="26"/>
      <c r="F697" s="26"/>
      <c r="G697" s="26"/>
      <c r="H697" s="26"/>
      <c r="I697" s="26"/>
    </row>
    <row r="698" spans="5:9">
      <c r="E698" s="26"/>
      <c r="F698" s="26"/>
      <c r="G698" s="26"/>
      <c r="H698" s="26"/>
      <c r="I698" s="26"/>
    </row>
    <row r="699" spans="5:9">
      <c r="E699" s="26"/>
      <c r="F699" s="26"/>
      <c r="G699" s="26"/>
      <c r="H699" s="26"/>
      <c r="I699" s="26"/>
    </row>
    <row r="700" spans="5:9">
      <c r="E700" s="26"/>
      <c r="F700" s="26"/>
      <c r="G700" s="26"/>
      <c r="H700" s="26"/>
      <c r="I700" s="26"/>
    </row>
    <row r="701" spans="5:9">
      <c r="E701" s="26"/>
      <c r="F701" s="26"/>
      <c r="G701" s="26"/>
      <c r="H701" s="26"/>
      <c r="I701" s="26"/>
    </row>
    <row r="702" spans="5:9">
      <c r="E702" s="26"/>
      <c r="F702" s="26"/>
      <c r="G702" s="26"/>
      <c r="H702" s="26"/>
      <c r="I702" s="26"/>
    </row>
    <row r="703" spans="5:9">
      <c r="E703" s="26"/>
      <c r="F703" s="26"/>
      <c r="G703" s="26"/>
      <c r="H703" s="26"/>
      <c r="I703" s="26"/>
    </row>
    <row r="704" spans="5:9">
      <c r="E704" s="26"/>
      <c r="F704" s="26"/>
      <c r="G704" s="26"/>
      <c r="H704" s="26"/>
      <c r="I704" s="26"/>
    </row>
    <row r="705" spans="5:9">
      <c r="E705" s="26"/>
      <c r="F705" s="26"/>
      <c r="G705" s="26"/>
      <c r="H705" s="26"/>
      <c r="I705" s="26"/>
    </row>
    <row r="706" spans="5:9">
      <c r="E706" s="26"/>
      <c r="F706" s="26"/>
      <c r="G706" s="26"/>
      <c r="H706" s="26"/>
      <c r="I706" s="26"/>
    </row>
    <row r="707" spans="5:9">
      <c r="E707" s="26"/>
      <c r="F707" s="26"/>
      <c r="G707" s="26"/>
      <c r="H707" s="26"/>
      <c r="I707" s="26"/>
    </row>
    <row r="708" spans="5:9">
      <c r="E708" s="26"/>
      <c r="F708" s="26"/>
      <c r="G708" s="26"/>
      <c r="H708" s="26"/>
      <c r="I708" s="26"/>
    </row>
    <row r="709" spans="5:9">
      <c r="E709" s="26"/>
      <c r="F709" s="26"/>
      <c r="G709" s="26"/>
      <c r="H709" s="26"/>
      <c r="I709" s="26"/>
    </row>
    <row r="710" spans="5:9">
      <c r="E710" s="26"/>
      <c r="F710" s="26"/>
      <c r="G710" s="26"/>
      <c r="H710" s="26"/>
      <c r="I710" s="26"/>
    </row>
    <row r="711" spans="5:9">
      <c r="E711" s="26"/>
      <c r="F711" s="26"/>
      <c r="G711" s="26"/>
      <c r="H711" s="26"/>
      <c r="I711" s="26"/>
    </row>
    <row r="712" spans="5:9">
      <c r="E712" s="26"/>
      <c r="F712" s="26"/>
      <c r="G712" s="26"/>
      <c r="H712" s="26"/>
      <c r="I712" s="26"/>
    </row>
    <row r="713" spans="5:9">
      <c r="E713" s="26"/>
      <c r="F713" s="26"/>
      <c r="G713" s="26"/>
      <c r="H713" s="26"/>
      <c r="I713" s="26"/>
    </row>
    <row r="714" spans="5:9">
      <c r="E714" s="26"/>
      <c r="F714" s="26"/>
      <c r="G714" s="26"/>
      <c r="H714" s="26"/>
      <c r="I714" s="26"/>
    </row>
    <row r="715" spans="5:9">
      <c r="E715" s="26"/>
      <c r="F715" s="26"/>
      <c r="G715" s="26"/>
      <c r="H715" s="26"/>
      <c r="I715" s="26"/>
    </row>
    <row r="716" spans="5:9">
      <c r="E716" s="26"/>
      <c r="F716" s="26"/>
      <c r="G716" s="26"/>
      <c r="H716" s="26"/>
      <c r="I716" s="26"/>
    </row>
    <row r="717" spans="5:9">
      <c r="E717" s="26"/>
      <c r="F717" s="26"/>
      <c r="G717" s="26"/>
      <c r="H717" s="26"/>
      <c r="I717" s="26"/>
    </row>
    <row r="718" spans="5:9">
      <c r="E718" s="26"/>
      <c r="F718" s="26"/>
      <c r="G718" s="26"/>
      <c r="H718" s="26"/>
      <c r="I718" s="26"/>
    </row>
    <row r="719" spans="5:9">
      <c r="E719" s="26"/>
      <c r="F719" s="26"/>
      <c r="G719" s="26"/>
      <c r="H719" s="26"/>
      <c r="I719" s="26"/>
    </row>
    <row r="720" spans="5:9">
      <c r="E720" s="26"/>
      <c r="F720" s="26"/>
      <c r="G720" s="26"/>
      <c r="H720" s="26"/>
      <c r="I720" s="26"/>
    </row>
    <row r="721" spans="5:9">
      <c r="E721" s="26"/>
      <c r="F721" s="26"/>
      <c r="G721" s="26"/>
      <c r="H721" s="26"/>
      <c r="I721" s="26"/>
    </row>
    <row r="722" spans="5:9">
      <c r="E722" s="26"/>
      <c r="F722" s="26"/>
      <c r="G722" s="26"/>
      <c r="H722" s="26"/>
      <c r="I722" s="26"/>
    </row>
    <row r="723" spans="5:9">
      <c r="E723" s="26"/>
      <c r="F723" s="26"/>
      <c r="G723" s="26"/>
      <c r="H723" s="26"/>
      <c r="I723" s="26"/>
    </row>
    <row r="724" spans="5:9">
      <c r="E724" s="26"/>
      <c r="F724" s="26"/>
      <c r="G724" s="26"/>
      <c r="H724" s="26"/>
      <c r="I724" s="26"/>
    </row>
    <row r="725" spans="5:9">
      <c r="E725" s="26"/>
      <c r="F725" s="26"/>
      <c r="G725" s="26"/>
      <c r="H725" s="26"/>
      <c r="I725" s="26"/>
    </row>
    <row r="726" spans="5:9">
      <c r="E726" s="26"/>
      <c r="F726" s="26"/>
      <c r="G726" s="26"/>
      <c r="H726" s="26"/>
      <c r="I726" s="26"/>
    </row>
    <row r="727" spans="5:9">
      <c r="E727" s="26"/>
      <c r="F727" s="26"/>
      <c r="G727" s="26"/>
      <c r="H727" s="26"/>
      <c r="I727" s="26"/>
    </row>
  </sheetData>
  <mergeCells count="20">
    <mergeCell ref="H113:H114"/>
    <mergeCell ref="I113:I114"/>
    <mergeCell ref="C3:F3"/>
    <mergeCell ref="C4:F4"/>
    <mergeCell ref="A5:I5"/>
    <mergeCell ref="A6:I6"/>
    <mergeCell ref="A7:I7"/>
    <mergeCell ref="B9:D9"/>
    <mergeCell ref="B65:D65"/>
    <mergeCell ref="E65:I65"/>
    <mergeCell ref="B105:G106"/>
    <mergeCell ref="H110:H112"/>
    <mergeCell ref="I110:I112"/>
    <mergeCell ref="B130:I130"/>
    <mergeCell ref="A120:A121"/>
    <mergeCell ref="B120:I120"/>
    <mergeCell ref="B121:I121"/>
    <mergeCell ref="B127:I127"/>
    <mergeCell ref="B128:I128"/>
    <mergeCell ref="B129:I129"/>
  </mergeCells>
  <pageMargins left="0.7" right="0.7" top="0.75" bottom="0.75" header="0.3" footer="0.3"/>
  <pageSetup scale="5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14999847407452621"/>
    <pageSetUpPr fitToPage="1"/>
  </sheetPr>
  <dimension ref="A1:Q24"/>
  <sheetViews>
    <sheetView topLeftCell="H9" workbookViewId="0">
      <selection activeCell="P11" sqref="P11"/>
    </sheetView>
  </sheetViews>
  <sheetFormatPr defaultColWidth="9.28515625" defaultRowHeight="15"/>
  <cols>
    <col min="1" max="1" width="13.28515625" style="183" customWidth="1"/>
    <col min="2" max="12" width="19.7109375" style="168" customWidth="1"/>
    <col min="13" max="13" width="19.7109375" style="183" customWidth="1"/>
    <col min="14" max="14" width="12.28515625" style="183" bestFit="1" customWidth="1"/>
    <col min="15" max="15" width="14.28515625" style="183" bestFit="1" customWidth="1"/>
    <col min="16" max="16" width="10.28515625" style="183" bestFit="1" customWidth="1"/>
    <col min="17" max="16384" width="9.28515625" style="183"/>
  </cols>
  <sheetData>
    <row r="1" spans="1:17" ht="15.6">
      <c r="A1" s="319" t="s">
        <v>139</v>
      </c>
      <c r="B1" s="319"/>
      <c r="C1" s="319"/>
      <c r="D1" s="319"/>
      <c r="E1" s="319"/>
      <c r="F1" s="319"/>
      <c r="G1" s="319"/>
      <c r="H1" s="319"/>
      <c r="I1" s="319"/>
      <c r="J1" s="319"/>
      <c r="K1" s="319"/>
      <c r="L1" s="319"/>
      <c r="M1" s="319"/>
    </row>
    <row r="2" spans="1:17" ht="15.6">
      <c r="A2" s="184" t="s">
        <v>140</v>
      </c>
      <c r="B2" s="185">
        <v>134197</v>
      </c>
      <c r="C2" s="186"/>
      <c r="D2" s="186"/>
      <c r="E2" s="186"/>
      <c r="F2" s="186"/>
      <c r="G2" s="186"/>
      <c r="H2" s="186"/>
      <c r="I2" s="186"/>
      <c r="J2" s="186"/>
      <c r="K2" s="186"/>
      <c r="L2" s="185" t="s">
        <v>2</v>
      </c>
      <c r="M2" s="184" t="s">
        <v>3</v>
      </c>
    </row>
    <row r="3" spans="1:17" ht="15.6">
      <c r="A3" s="319" t="s">
        <v>141</v>
      </c>
      <c r="B3" s="319"/>
      <c r="C3" s="319"/>
      <c r="D3" s="319"/>
      <c r="E3" s="319"/>
      <c r="F3" s="319"/>
      <c r="G3" s="319"/>
      <c r="H3" s="319"/>
      <c r="I3" s="319"/>
      <c r="J3" s="319"/>
      <c r="K3" s="319"/>
      <c r="L3" s="319"/>
      <c r="M3" s="319"/>
    </row>
    <row r="4" spans="1:17" ht="15.6">
      <c r="A4" s="319" t="s">
        <v>142</v>
      </c>
      <c r="B4" s="319"/>
      <c r="C4" s="319"/>
      <c r="D4" s="319"/>
      <c r="E4" s="319"/>
      <c r="F4" s="319"/>
      <c r="G4" s="319"/>
      <c r="H4" s="319"/>
      <c r="I4" s="319"/>
      <c r="J4" s="319"/>
      <c r="K4" s="319"/>
      <c r="L4" s="319"/>
      <c r="M4" s="319"/>
    </row>
    <row r="5" spans="1:17" ht="15.6" thickBot="1"/>
    <row r="6" spans="1:17" ht="63.75" customHeight="1">
      <c r="B6" s="187" t="s">
        <v>143</v>
      </c>
      <c r="C6" s="188" t="s">
        <v>144</v>
      </c>
      <c r="D6" s="188" t="s">
        <v>145</v>
      </c>
      <c r="E6" s="188" t="s">
        <v>146</v>
      </c>
      <c r="F6" s="188" t="s">
        <v>147</v>
      </c>
      <c r="G6" s="188" t="s">
        <v>148</v>
      </c>
      <c r="H6" s="188" t="s">
        <v>149</v>
      </c>
      <c r="I6" s="188" t="s">
        <v>150</v>
      </c>
      <c r="J6" s="188" t="s">
        <v>151</v>
      </c>
      <c r="K6" s="188" t="s">
        <v>152</v>
      </c>
      <c r="L6" s="188" t="s">
        <v>153</v>
      </c>
      <c r="M6" s="189" t="s">
        <v>80</v>
      </c>
    </row>
    <row r="7" spans="1:17">
      <c r="B7" s="190" t="s">
        <v>154</v>
      </c>
      <c r="C7" s="191" t="s">
        <v>155</v>
      </c>
      <c r="D7" s="191" t="s">
        <v>156</v>
      </c>
      <c r="E7" s="191" t="s">
        <v>157</v>
      </c>
      <c r="F7" s="191" t="s">
        <v>158</v>
      </c>
      <c r="G7" s="191" t="s">
        <v>159</v>
      </c>
      <c r="H7" s="191" t="s">
        <v>160</v>
      </c>
      <c r="I7" s="191" t="s">
        <v>161</v>
      </c>
      <c r="J7" s="191" t="s">
        <v>162</v>
      </c>
      <c r="K7" s="191" t="s">
        <v>163</v>
      </c>
      <c r="L7" s="191" t="s">
        <v>164</v>
      </c>
      <c r="M7" s="192" t="s">
        <v>165</v>
      </c>
    </row>
    <row r="8" spans="1:17" ht="68.25" customHeight="1">
      <c r="B8" s="193" t="s">
        <v>166</v>
      </c>
      <c r="C8" s="194">
        <f>+'Fall 2024 wk bud sub to sponsr'!U41-225947</f>
        <v>685658.76</v>
      </c>
      <c r="D8" s="194">
        <f>+'Fall 2024 wk bud sub to sponsr'!U38</f>
        <v>134938.1</v>
      </c>
      <c r="E8" s="194">
        <f>+'Fall 2024 wk bud sub to sponsr'!U39+'Fall 2024 wk bud sub to sponsr'!U35</f>
        <v>85999.56</v>
      </c>
      <c r="F8" s="195"/>
      <c r="G8" s="195">
        <f>+'Fall 2024 wk bud sub to sponsr'!U40</f>
        <v>5009.18</v>
      </c>
      <c r="H8" s="195"/>
      <c r="I8" s="195"/>
      <c r="J8" s="195"/>
      <c r="K8" s="195"/>
      <c r="L8" s="195"/>
      <c r="M8" s="196">
        <f>SUM(C8:L8)</f>
        <v>911605.6</v>
      </c>
      <c r="O8" s="200"/>
    </row>
    <row r="9" spans="1:17" ht="68.25" customHeight="1">
      <c r="B9" s="193" t="s">
        <v>167</v>
      </c>
      <c r="C9" s="194">
        <f>+C8*0.41+2669</f>
        <v>283789.09159999999</v>
      </c>
      <c r="D9" s="194">
        <f>+D8*0.41</f>
        <v>55324.620999999999</v>
      </c>
      <c r="E9" s="194">
        <f>+E8*0.41</f>
        <v>35259.819599999995</v>
      </c>
      <c r="F9" s="195"/>
      <c r="G9" s="194">
        <f>+G8*0.41</f>
        <v>2053.7638000000002</v>
      </c>
      <c r="H9" s="195"/>
      <c r="I9" s="195"/>
      <c r="J9" s="195"/>
      <c r="K9" s="195"/>
      <c r="L9" s="195"/>
      <c r="M9" s="196">
        <f t="shared" ref="M9:M14" si="0">SUM(C9:L9)</f>
        <v>376427.29599999997</v>
      </c>
      <c r="O9" s="200"/>
    </row>
    <row r="10" spans="1:17" ht="68.25" customHeight="1">
      <c r="B10" s="193" t="s">
        <v>168</v>
      </c>
      <c r="C10" s="194">
        <f>+'Fall 2024 wk bud sub to sponsr'!U51+'Fall 2024 wk bud sub to sponsr'!U58</f>
        <v>22550</v>
      </c>
      <c r="D10" s="194">
        <f>+'Fall 2024 wk bud sub to sponsr'!U52+'Fall 2024 wk bud sub to sponsr'!U54+'Fall 2024 wk bud sub to sponsr'!U56+'Fall 2024 wk bud sub to sponsr'!U59</f>
        <v>105303.43</v>
      </c>
      <c r="E10" s="194">
        <f>+'Fall 2024 wk bud sub to sponsr'!U54+'Fall 2024 wk bud sub to sponsr'!U55+'Fall 2024 wk bud sub to sponsr'!U56+'Fall 2024 wk bud sub to sponsr'!U60+'Fall 2024 wk bud sub to sponsr'!U61+'Fall 2024 wk bud sub to sponsr'!U64+'Fall 2024 wk bud sub to sponsr'!U65+'Fall 2024 wk bud sub to sponsr'!U72-203</f>
        <v>69293.19</v>
      </c>
      <c r="F10" s="194">
        <f>+'Fall 2024 wk bud sub to sponsr'!U57+'Fall 2024 wk bud sub to sponsr'!U75</f>
        <v>72000</v>
      </c>
      <c r="G10" s="194">
        <f>+'Fall 2024 wk bud sub to sponsr'!U76+'Fall 2024 wk bud sub to sponsr'!U74+'Fall 2024 wk bud sub to sponsr'!U73+'Fall 2024 wk bud sub to sponsr'!U71+'Fall 2024 wk bud sub to sponsr'!U70+'Fall 2024 wk bud sub to sponsr'!U69+'Fall 2024 wk bud sub to sponsr'!U68+'Fall 2024 wk bud sub to sponsr'!U67+'Fall 2024 wk bud sub to sponsr'!U66+'Fall 2024 wk bud sub to sponsr'!U63+'Fall 2024 wk bud sub to sponsr'!U62-1533</f>
        <v>167408.76</v>
      </c>
      <c r="H10" s="194">
        <f>+'Fall 2024 wk bud sub to sponsr'!U79</f>
        <v>61000</v>
      </c>
      <c r="I10" s="194">
        <f>+'Fall 2024 wk bud sub to sponsr'!U78</f>
        <v>94658.48000000001</v>
      </c>
      <c r="J10" s="194"/>
      <c r="K10" s="194"/>
      <c r="L10" s="194"/>
      <c r="M10" s="196">
        <f t="shared" si="0"/>
        <v>592213.86</v>
      </c>
      <c r="N10" s="200"/>
      <c r="O10" s="200"/>
    </row>
    <row r="11" spans="1:17" ht="68.25" customHeight="1">
      <c r="B11" s="193" t="s">
        <v>169</v>
      </c>
      <c r="C11" s="194">
        <f>+'Fall 2024 wk bud sub to sponsr'!U82</f>
        <v>7009.73</v>
      </c>
      <c r="D11" s="194">
        <f>+'Fall 2024 wk bud sub to sponsr'!U84</f>
        <v>939.62</v>
      </c>
      <c r="E11" s="194">
        <f>+'Fall 2024 wk bud sub to sponsr'!U83</f>
        <v>4026.05</v>
      </c>
      <c r="F11" s="195"/>
      <c r="G11" s="194">
        <f>+'Fall 2024 wk bud sub to sponsr'!U85+'Fall 2024 wk bud sub to sponsr'!U86</f>
        <v>1043</v>
      </c>
      <c r="H11" s="195"/>
      <c r="I11" s="195"/>
      <c r="J11" s="195"/>
      <c r="K11" s="195"/>
      <c r="L11" s="195"/>
      <c r="M11" s="196">
        <f t="shared" si="0"/>
        <v>13018.4</v>
      </c>
      <c r="N11" s="200"/>
      <c r="Q11" s="183" t="s">
        <v>170</v>
      </c>
    </row>
    <row r="12" spans="1:17" ht="68.25" customHeight="1">
      <c r="B12" s="193" t="s">
        <v>171</v>
      </c>
      <c r="C12" s="195"/>
      <c r="D12" s="195"/>
      <c r="E12" s="195"/>
      <c r="F12" s="195"/>
      <c r="G12" s="195"/>
      <c r="H12" s="195"/>
      <c r="I12" s="195"/>
      <c r="J12" s="195"/>
      <c r="K12" s="195"/>
      <c r="L12" s="195"/>
      <c r="M12" s="196">
        <f t="shared" si="0"/>
        <v>0</v>
      </c>
    </row>
    <row r="13" spans="1:17" ht="68.25" customHeight="1">
      <c r="B13" s="193" t="s">
        <v>172</v>
      </c>
      <c r="C13" s="195"/>
      <c r="D13" s="195"/>
      <c r="E13" s="195"/>
      <c r="F13" s="195">
        <f>+'Fall 2024 wk bud sub to sponsr'!U94+'Fall 2024 wk bud sub to sponsr'!U92+'Fall 2024 wk bud sub to sponsr'!U91+'Fall 2024 wk bud sub to sponsr'!U89</f>
        <v>9845.15</v>
      </c>
      <c r="G13" s="195"/>
      <c r="H13" s="195"/>
      <c r="I13" s="194"/>
      <c r="J13" s="194"/>
      <c r="K13" s="194"/>
      <c r="L13" s="194"/>
      <c r="M13" s="196">
        <f t="shared" si="0"/>
        <v>9845.15</v>
      </c>
    </row>
    <row r="14" spans="1:17" ht="18" customHeight="1" thickBot="1">
      <c r="B14" s="197" t="s">
        <v>80</v>
      </c>
      <c r="C14" s="198">
        <f>SUM(C8:C13)</f>
        <v>999007.58159999992</v>
      </c>
      <c r="D14" s="198">
        <f t="shared" ref="D14:L14" si="1">SUM(D8:D13)</f>
        <v>296505.77100000001</v>
      </c>
      <c r="E14" s="198">
        <f t="shared" si="1"/>
        <v>194578.61959999998</v>
      </c>
      <c r="F14" s="198">
        <f t="shared" si="1"/>
        <v>81845.149999999994</v>
      </c>
      <c r="G14" s="198">
        <f t="shared" si="1"/>
        <v>175514.70380000002</v>
      </c>
      <c r="H14" s="198">
        <f t="shared" si="1"/>
        <v>61000</v>
      </c>
      <c r="I14" s="198">
        <f t="shared" si="1"/>
        <v>94658.48000000001</v>
      </c>
      <c r="J14" s="198">
        <f t="shared" si="1"/>
        <v>0</v>
      </c>
      <c r="K14" s="198">
        <f t="shared" si="1"/>
        <v>0</v>
      </c>
      <c r="L14" s="198">
        <f t="shared" si="1"/>
        <v>0</v>
      </c>
      <c r="M14" s="199">
        <f t="shared" si="0"/>
        <v>1903110.3059999996</v>
      </c>
      <c r="O14" s="200"/>
    </row>
    <row r="16" spans="1:17" ht="16.149999999999999" thickBot="1">
      <c r="B16" s="186" t="s">
        <v>173</v>
      </c>
    </row>
    <row r="17" spans="1:15" ht="49.5" customHeight="1" thickBot="1">
      <c r="A17" s="201" t="s">
        <v>174</v>
      </c>
      <c r="B17" s="202">
        <v>130</v>
      </c>
      <c r="C17" s="203">
        <f>C14/$B$17</f>
        <v>7684.6737046153839</v>
      </c>
      <c r="D17" s="203">
        <f t="shared" ref="D17:M17" si="2">D14/$B$17</f>
        <v>2280.8136230769232</v>
      </c>
      <c r="E17" s="203">
        <f t="shared" si="2"/>
        <v>1496.7586123076921</v>
      </c>
      <c r="F17" s="203">
        <f t="shared" si="2"/>
        <v>629.57807692307688</v>
      </c>
      <c r="G17" s="203">
        <f t="shared" si="2"/>
        <v>1350.1131061538463</v>
      </c>
      <c r="H17" s="203">
        <f t="shared" si="2"/>
        <v>469.23076923076923</v>
      </c>
      <c r="I17" s="203">
        <f t="shared" si="2"/>
        <v>728.14215384615397</v>
      </c>
      <c r="J17" s="203">
        <f t="shared" si="2"/>
        <v>0</v>
      </c>
      <c r="K17" s="203">
        <f t="shared" si="2"/>
        <v>0</v>
      </c>
      <c r="L17" s="203">
        <f t="shared" si="2"/>
        <v>0</v>
      </c>
      <c r="M17" s="204">
        <f t="shared" si="2"/>
        <v>14639.310046153843</v>
      </c>
      <c r="O17" s="200"/>
    </row>
    <row r="19" spans="1:15" ht="15.6">
      <c r="B19" s="320"/>
      <c r="C19" s="320"/>
      <c r="D19" s="183"/>
    </row>
    <row r="20" spans="1:15" ht="17.25" customHeight="1">
      <c r="D20" s="183"/>
    </row>
    <row r="21" spans="1:15" ht="35.25" customHeight="1">
      <c r="B21" s="205"/>
      <c r="C21" s="206"/>
      <c r="D21" s="183"/>
    </row>
    <row r="22" spans="1:15" ht="35.25" customHeight="1">
      <c r="B22" s="205"/>
      <c r="C22" s="206"/>
      <c r="D22" s="183"/>
    </row>
    <row r="23" spans="1:15" ht="35.25" customHeight="1">
      <c r="B23" s="205"/>
      <c r="C23" s="206"/>
      <c r="D23" s="183"/>
    </row>
    <row r="24" spans="1:15" ht="18.75" customHeight="1"/>
  </sheetData>
  <mergeCells count="4">
    <mergeCell ref="A1:M1"/>
    <mergeCell ref="A3:M3"/>
    <mergeCell ref="A4:M4"/>
    <mergeCell ref="B19:C19"/>
  </mergeCells>
  <pageMargins left="0.7" right="0.7" top="0.75" bottom="0.75" header="0.3" footer="0.3"/>
  <pageSetup scale="4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4.9989318521683403E-2"/>
  </sheetPr>
  <dimension ref="B1:X257"/>
  <sheetViews>
    <sheetView topLeftCell="A36" workbookViewId="0">
      <selection activeCell="C76" sqref="C76"/>
    </sheetView>
  </sheetViews>
  <sheetFormatPr defaultColWidth="9.28515625" defaultRowHeight="15"/>
  <cols>
    <col min="1" max="1" width="1.7109375" style="158" customWidth="1"/>
    <col min="2" max="15" width="18.7109375" style="158" customWidth="1"/>
    <col min="16" max="16384" width="9.28515625" style="158"/>
  </cols>
  <sheetData>
    <row r="1" spans="2:16" ht="15.6" thickBot="1"/>
    <row r="2" spans="2:16" ht="17.45">
      <c r="B2" s="326" t="s">
        <v>175</v>
      </c>
      <c r="C2" s="327"/>
      <c r="D2" s="327"/>
      <c r="E2" s="327"/>
      <c r="F2" s="327"/>
      <c r="G2" s="327"/>
      <c r="H2" s="327"/>
      <c r="I2" s="327"/>
      <c r="J2" s="327"/>
      <c r="K2" s="327"/>
      <c r="L2" s="327"/>
      <c r="M2" s="327"/>
      <c r="N2" s="327"/>
      <c r="O2" s="328"/>
    </row>
    <row r="3" spans="2:16">
      <c r="B3" s="159"/>
      <c r="O3" s="160"/>
    </row>
    <row r="4" spans="2:16" ht="15.6" thickBot="1">
      <c r="B4" s="159"/>
      <c r="O4" s="160"/>
    </row>
    <row r="5" spans="2:16" ht="16.149999999999999" thickBot="1">
      <c r="B5" s="329" t="s">
        <v>176</v>
      </c>
      <c r="C5" s="330"/>
      <c r="D5" s="330"/>
      <c r="E5" s="330"/>
      <c r="F5" s="330"/>
      <c r="G5" s="330"/>
      <c r="H5" s="330"/>
      <c r="I5" s="330"/>
      <c r="J5" s="330"/>
      <c r="K5" s="330"/>
      <c r="L5" s="330"/>
      <c r="M5" s="330"/>
      <c r="N5" s="330"/>
      <c r="O5" s="331"/>
    </row>
    <row r="6" spans="2:16">
      <c r="B6" s="161" t="s">
        <v>177</v>
      </c>
      <c r="C6" s="162" t="s">
        <v>165</v>
      </c>
      <c r="D6" s="162">
        <v>1</v>
      </c>
      <c r="E6" s="162">
        <v>2</v>
      </c>
      <c r="F6" s="162">
        <v>3</v>
      </c>
      <c r="G6" s="162">
        <v>4</v>
      </c>
      <c r="H6" s="162">
        <v>5</v>
      </c>
      <c r="I6" s="162">
        <v>6</v>
      </c>
      <c r="J6" s="162">
        <v>7</v>
      </c>
      <c r="K6" s="162">
        <v>8</v>
      </c>
      <c r="L6" s="162">
        <v>9</v>
      </c>
      <c r="M6" s="162">
        <v>10</v>
      </c>
      <c r="N6" s="162">
        <v>11</v>
      </c>
      <c r="O6" s="163">
        <v>12</v>
      </c>
    </row>
    <row r="7" spans="2:16" ht="15.6" thickBot="1">
      <c r="B7" s="164" t="s">
        <v>178</v>
      </c>
      <c r="C7" s="165">
        <v>16.25</v>
      </c>
      <c r="D7" s="165">
        <v>16.25</v>
      </c>
      <c r="E7" s="165">
        <v>16.25</v>
      </c>
      <c r="F7" s="165">
        <v>16.25</v>
      </c>
      <c r="G7" s="165">
        <v>16.25</v>
      </c>
      <c r="H7" s="165">
        <v>16.25</v>
      </c>
      <c r="I7" s="165">
        <v>16.25</v>
      </c>
      <c r="J7" s="165">
        <v>16.25</v>
      </c>
      <c r="K7" s="165">
        <v>16.25</v>
      </c>
      <c r="L7" s="165"/>
      <c r="M7" s="165"/>
      <c r="N7" s="165"/>
      <c r="O7" s="166"/>
      <c r="P7" s="158">
        <v>192</v>
      </c>
    </row>
    <row r="8" spans="2:16">
      <c r="B8" s="167"/>
      <c r="C8" s="168"/>
      <c r="D8" s="168"/>
      <c r="E8" s="168"/>
      <c r="F8" s="168"/>
      <c r="G8" s="168"/>
      <c r="H8" s="168"/>
      <c r="I8" s="168"/>
      <c r="J8" s="168"/>
      <c r="K8" s="168"/>
      <c r="L8" s="168"/>
      <c r="M8" s="168"/>
      <c r="N8" s="168"/>
      <c r="O8" s="169"/>
    </row>
    <row r="9" spans="2:16" ht="15.6" thickBot="1">
      <c r="B9" s="159"/>
      <c r="O9" s="160"/>
    </row>
    <row r="10" spans="2:16" ht="16.149999999999999" thickBot="1">
      <c r="B10" s="332" t="s">
        <v>179</v>
      </c>
      <c r="C10" s="333"/>
      <c r="D10" s="333"/>
      <c r="E10" s="333"/>
      <c r="F10" s="333"/>
      <c r="G10" s="333"/>
      <c r="H10" s="333"/>
      <c r="I10" s="333"/>
      <c r="J10" s="333"/>
      <c r="K10" s="333"/>
      <c r="L10" s="333"/>
      <c r="M10" s="333"/>
      <c r="N10" s="333"/>
      <c r="O10" s="334"/>
    </row>
    <row r="11" spans="2:16">
      <c r="B11" s="161" t="s">
        <v>177</v>
      </c>
      <c r="C11" s="162" t="s">
        <v>165</v>
      </c>
      <c r="D11" s="162">
        <v>1</v>
      </c>
      <c r="E11" s="162">
        <v>2</v>
      </c>
      <c r="F11" s="162">
        <v>3</v>
      </c>
      <c r="G11" s="162">
        <v>4</v>
      </c>
      <c r="H11" s="162">
        <v>5</v>
      </c>
      <c r="I11" s="162">
        <v>6</v>
      </c>
      <c r="J11" s="162">
        <v>7</v>
      </c>
      <c r="K11" s="162">
        <v>8</v>
      </c>
      <c r="L11" s="162">
        <v>9</v>
      </c>
      <c r="M11" s="162">
        <v>10</v>
      </c>
      <c r="N11" s="162">
        <v>11</v>
      </c>
      <c r="O11" s="163">
        <v>12</v>
      </c>
    </row>
    <row r="12" spans="2:16" ht="15.6" thickBot="1">
      <c r="B12" s="164" t="s">
        <v>180</v>
      </c>
      <c r="C12" s="165">
        <v>12</v>
      </c>
      <c r="D12" s="165">
        <v>12</v>
      </c>
      <c r="E12" s="165">
        <v>12</v>
      </c>
      <c r="F12" s="165">
        <v>12</v>
      </c>
      <c r="G12" s="165">
        <v>12</v>
      </c>
      <c r="H12" s="165">
        <v>12</v>
      </c>
      <c r="I12" s="165">
        <v>12</v>
      </c>
      <c r="J12" s="165">
        <v>12</v>
      </c>
      <c r="K12" s="165">
        <v>12</v>
      </c>
      <c r="L12" s="165"/>
      <c r="M12" s="165"/>
      <c r="N12" s="165"/>
      <c r="O12" s="166"/>
    </row>
    <row r="13" spans="2:16">
      <c r="B13" s="167"/>
      <c r="C13" s="168"/>
      <c r="D13" s="168"/>
      <c r="E13" s="168"/>
      <c r="F13" s="168"/>
      <c r="G13" s="168"/>
      <c r="H13" s="168"/>
      <c r="I13" s="168"/>
      <c r="J13" s="168"/>
      <c r="K13" s="168"/>
      <c r="L13" s="168"/>
      <c r="M13" s="168"/>
      <c r="N13" s="168"/>
      <c r="O13" s="169"/>
    </row>
    <row r="14" spans="2:16" ht="15.6" thickBot="1">
      <c r="B14" s="159"/>
      <c r="O14" s="160"/>
    </row>
    <row r="15" spans="2:16" ht="16.149999999999999" thickBot="1">
      <c r="B15" s="335" t="s">
        <v>181</v>
      </c>
      <c r="C15" s="336"/>
      <c r="D15" s="336"/>
      <c r="E15" s="336"/>
      <c r="F15" s="336"/>
      <c r="G15" s="336"/>
      <c r="H15" s="336"/>
      <c r="I15" s="336"/>
      <c r="J15" s="336"/>
      <c r="K15" s="336"/>
      <c r="L15" s="336"/>
      <c r="M15" s="336"/>
      <c r="N15" s="336"/>
      <c r="O15" s="337"/>
    </row>
    <row r="16" spans="2:16">
      <c r="B16" s="161" t="s">
        <v>177</v>
      </c>
      <c r="C16" s="162" t="s">
        <v>165</v>
      </c>
      <c r="D16" s="162">
        <v>1</v>
      </c>
      <c r="E16" s="162">
        <v>2</v>
      </c>
      <c r="F16" s="162">
        <v>3</v>
      </c>
      <c r="G16" s="162">
        <v>4</v>
      </c>
      <c r="H16" s="162">
        <v>5</v>
      </c>
      <c r="I16" s="162">
        <v>6</v>
      </c>
      <c r="J16" s="162">
        <v>7</v>
      </c>
      <c r="K16" s="162">
        <v>8</v>
      </c>
      <c r="L16" s="162">
        <v>9</v>
      </c>
      <c r="M16" s="162">
        <v>10</v>
      </c>
      <c r="N16" s="162">
        <v>11</v>
      </c>
      <c r="O16" s="163">
        <v>12</v>
      </c>
    </row>
    <row r="17" spans="2:15" ht="15.6" thickBot="1">
      <c r="B17" s="164" t="s">
        <v>180</v>
      </c>
      <c r="C17" s="165">
        <v>3</v>
      </c>
      <c r="D17" s="165">
        <v>3</v>
      </c>
      <c r="E17" s="165">
        <v>3</v>
      </c>
      <c r="F17" s="165">
        <v>3</v>
      </c>
      <c r="G17" s="165">
        <v>3</v>
      </c>
      <c r="H17" s="165">
        <v>3</v>
      </c>
      <c r="I17" s="165">
        <v>3</v>
      </c>
      <c r="J17" s="165">
        <v>3</v>
      </c>
      <c r="K17" s="165">
        <v>3</v>
      </c>
      <c r="L17" s="165"/>
      <c r="M17" s="165"/>
      <c r="N17" s="165"/>
      <c r="O17" s="166"/>
    </row>
    <row r="18" spans="2:15">
      <c r="B18" s="167"/>
      <c r="C18" s="168"/>
      <c r="D18" s="168"/>
      <c r="E18" s="168"/>
      <c r="F18" s="168"/>
      <c r="G18" s="168"/>
      <c r="H18" s="168"/>
      <c r="I18" s="168"/>
      <c r="J18" s="168"/>
      <c r="K18" s="168"/>
      <c r="L18" s="168"/>
      <c r="M18" s="168"/>
      <c r="N18" s="168"/>
      <c r="O18" s="169"/>
    </row>
    <row r="19" spans="2:15" ht="15.6" thickBot="1">
      <c r="B19" s="159"/>
      <c r="O19" s="160"/>
    </row>
    <row r="20" spans="2:15" ht="16.149999999999999" thickBot="1">
      <c r="B20" s="338" t="s">
        <v>182</v>
      </c>
      <c r="C20" s="339"/>
      <c r="D20" s="339"/>
      <c r="E20" s="339"/>
      <c r="F20" s="339"/>
      <c r="G20" s="339"/>
      <c r="H20" s="339"/>
      <c r="I20" s="339"/>
      <c r="J20" s="339"/>
      <c r="K20" s="339"/>
      <c r="L20" s="339"/>
      <c r="M20" s="339"/>
      <c r="N20" s="339"/>
      <c r="O20" s="340"/>
    </row>
    <row r="21" spans="2:15">
      <c r="B21" s="161" t="s">
        <v>177</v>
      </c>
      <c r="C21" s="162" t="s">
        <v>165</v>
      </c>
      <c r="D21" s="162">
        <v>1</v>
      </c>
      <c r="E21" s="162">
        <v>2</v>
      </c>
      <c r="F21" s="162">
        <v>3</v>
      </c>
      <c r="G21" s="162">
        <v>4</v>
      </c>
      <c r="H21" s="162">
        <v>5</v>
      </c>
      <c r="I21" s="162">
        <v>6</v>
      </c>
      <c r="J21" s="162">
        <v>7</v>
      </c>
      <c r="K21" s="162">
        <v>8</v>
      </c>
      <c r="L21" s="162">
        <v>9</v>
      </c>
      <c r="M21" s="162">
        <v>10</v>
      </c>
      <c r="N21" s="162">
        <v>11</v>
      </c>
      <c r="O21" s="163">
        <v>12</v>
      </c>
    </row>
    <row r="22" spans="2:15" ht="15.6" thickBot="1">
      <c r="B22" s="164" t="s">
        <v>180</v>
      </c>
      <c r="C22" s="165">
        <v>1</v>
      </c>
      <c r="D22" s="165">
        <v>1</v>
      </c>
      <c r="E22" s="165">
        <v>1</v>
      </c>
      <c r="F22" s="165">
        <v>1</v>
      </c>
      <c r="G22" s="165">
        <v>1</v>
      </c>
      <c r="H22" s="165">
        <v>1</v>
      </c>
      <c r="I22" s="165">
        <v>1</v>
      </c>
      <c r="J22" s="165">
        <v>1</v>
      </c>
      <c r="K22" s="165">
        <v>1</v>
      </c>
      <c r="L22" s="165"/>
      <c r="M22" s="165"/>
      <c r="N22" s="165"/>
      <c r="O22" s="166"/>
    </row>
    <row r="23" spans="2:15">
      <c r="B23" s="167"/>
      <c r="C23" s="168"/>
      <c r="D23" s="168"/>
      <c r="E23" s="168"/>
      <c r="F23" s="168"/>
      <c r="G23" s="168"/>
      <c r="H23" s="168"/>
      <c r="I23" s="168"/>
      <c r="J23" s="168"/>
      <c r="K23" s="168"/>
      <c r="L23" s="168"/>
      <c r="M23" s="168"/>
      <c r="N23" s="168"/>
      <c r="O23" s="169"/>
    </row>
    <row r="24" spans="2:15" ht="15.6" thickBot="1">
      <c r="B24" s="159"/>
      <c r="O24" s="160"/>
    </row>
    <row r="25" spans="2:15" ht="16.149999999999999" thickBot="1">
      <c r="B25" s="321" t="s">
        <v>183</v>
      </c>
      <c r="C25" s="322"/>
      <c r="D25" s="323"/>
      <c r="F25" s="313" t="s">
        <v>184</v>
      </c>
      <c r="G25" s="314"/>
      <c r="H25" s="314"/>
      <c r="I25" s="314"/>
      <c r="J25" s="314"/>
      <c r="K25" s="315"/>
      <c r="O25" s="160"/>
    </row>
    <row r="26" spans="2:15" ht="15.6" thickBot="1">
      <c r="B26" s="324" t="s">
        <v>62</v>
      </c>
      <c r="C26" s="325"/>
      <c r="D26" s="170">
        <f>+'Forecast Fall 24'!E74</f>
        <v>84607.25</v>
      </c>
      <c r="F26" s="316"/>
      <c r="G26" s="317"/>
      <c r="H26" s="317"/>
      <c r="I26" s="317"/>
      <c r="J26" s="317"/>
      <c r="K26" s="318"/>
      <c r="O26" s="160"/>
    </row>
    <row r="27" spans="2:15" ht="28.9">
      <c r="B27" s="341" t="s">
        <v>63</v>
      </c>
      <c r="C27" s="342"/>
      <c r="D27" s="171">
        <f>+'Forecast Fall 24'!E75</f>
        <v>45469.51</v>
      </c>
      <c r="F27" s="126" t="s">
        <v>91</v>
      </c>
      <c r="G27" s="127" t="s">
        <v>92</v>
      </c>
      <c r="H27" s="127" t="s">
        <v>93</v>
      </c>
      <c r="I27" s="127" t="s">
        <v>94</v>
      </c>
      <c r="J27" s="128" t="s">
        <v>95</v>
      </c>
      <c r="K27" s="129" t="s">
        <v>96</v>
      </c>
      <c r="O27" s="160"/>
    </row>
    <row r="28" spans="2:15">
      <c r="B28" s="341" t="s">
        <v>64</v>
      </c>
      <c r="C28" s="342"/>
      <c r="D28" s="171">
        <f>+'Forecast Fall 24'!E76</f>
        <v>43409.16</v>
      </c>
      <c r="F28" s="131" t="s">
        <v>97</v>
      </c>
      <c r="G28" s="132">
        <v>0</v>
      </c>
      <c r="H28" s="132">
        <v>0</v>
      </c>
      <c r="I28" s="132">
        <v>0</v>
      </c>
      <c r="J28" s="132">
        <v>0</v>
      </c>
      <c r="K28" s="133"/>
      <c r="O28" s="160"/>
    </row>
    <row r="29" spans="2:15">
      <c r="B29" s="341" t="s">
        <v>65</v>
      </c>
      <c r="C29" s="342"/>
      <c r="D29" s="171">
        <f>+'Forecast Fall 24'!E77</f>
        <v>33000</v>
      </c>
      <c r="F29" s="136" t="s">
        <v>185</v>
      </c>
      <c r="G29" s="138">
        <v>3828</v>
      </c>
      <c r="H29" s="138">
        <f>+'Forecast Fall 24'!D110</f>
        <v>-7251</v>
      </c>
      <c r="I29" s="138">
        <f>+'Forecast Fall 24'!E110</f>
        <v>-1849.6578</v>
      </c>
      <c r="J29" s="138">
        <f>+'Forecast Fall 24'!F110</f>
        <v>21726.9722</v>
      </c>
      <c r="K29" s="141" t="s">
        <v>185</v>
      </c>
      <c r="O29" s="160"/>
    </row>
    <row r="30" spans="2:15" ht="28.9">
      <c r="B30" s="341" t="s">
        <v>66</v>
      </c>
      <c r="C30" s="342"/>
      <c r="D30" s="171">
        <f>+'Forecast Fall 24'!E78</f>
        <v>0</v>
      </c>
      <c r="F30" s="131" t="s">
        <v>186</v>
      </c>
      <c r="G30" s="132">
        <f>+'Forecast Fall 24'!C109</f>
        <v>0</v>
      </c>
      <c r="H30" s="132">
        <f>+'Forecast Fall 24'!D109</f>
        <v>0</v>
      </c>
      <c r="I30" s="132">
        <f>+'Forecast Fall 24'!E109</f>
        <v>0</v>
      </c>
      <c r="J30" s="132">
        <f>+G30+H30</f>
        <v>0</v>
      </c>
      <c r="K30" s="133"/>
      <c r="O30" s="160"/>
    </row>
    <row r="31" spans="2:15">
      <c r="B31" s="341" t="s">
        <v>67</v>
      </c>
      <c r="C31" s="342"/>
      <c r="D31" s="171">
        <f>+'Forecast Fall 24'!E79</f>
        <v>41956.37</v>
      </c>
      <c r="F31" s="136" t="s">
        <v>187</v>
      </c>
      <c r="G31" s="138"/>
      <c r="H31" s="138"/>
      <c r="I31" s="138">
        <v>0</v>
      </c>
      <c r="J31" s="138"/>
      <c r="K31" s="141"/>
      <c r="O31" s="160"/>
    </row>
    <row r="32" spans="2:15">
      <c r="B32" s="341" t="s">
        <v>188</v>
      </c>
      <c r="C32" s="342"/>
      <c r="D32" s="171">
        <f>+'Forecast Fall 24'!E80</f>
        <v>38000</v>
      </c>
      <c r="F32" s="131" t="s">
        <v>189</v>
      </c>
      <c r="G32" s="132">
        <f>+[1]Payables!C8</f>
        <v>0</v>
      </c>
      <c r="H32" s="132">
        <v>0</v>
      </c>
      <c r="I32" s="132">
        <v>0</v>
      </c>
      <c r="J32" s="132">
        <v>0</v>
      </c>
      <c r="K32" s="133"/>
      <c r="O32" s="160"/>
    </row>
    <row r="33" spans="2:15">
      <c r="B33" s="341" t="s">
        <v>69</v>
      </c>
      <c r="C33" s="342"/>
      <c r="D33" s="171"/>
      <c r="F33" s="136" t="s">
        <v>102</v>
      </c>
      <c r="G33" s="138">
        <v>0</v>
      </c>
      <c r="H33" s="138">
        <v>0</v>
      </c>
      <c r="I33" s="138">
        <v>0</v>
      </c>
      <c r="J33" s="138">
        <v>0</v>
      </c>
      <c r="K33" s="141"/>
      <c r="O33" s="160"/>
    </row>
    <row r="34" spans="2:15" ht="29.45" thickBot="1">
      <c r="B34" s="341" t="s">
        <v>70</v>
      </c>
      <c r="C34" s="342"/>
      <c r="D34" s="171">
        <f>+'Forecast Fall 24'!E82</f>
        <v>61000</v>
      </c>
      <c r="F34" s="142" t="s">
        <v>103</v>
      </c>
      <c r="G34" s="144">
        <f>+'Forecast Fall 24'!C114</f>
        <v>359111</v>
      </c>
      <c r="H34" s="144"/>
      <c r="I34" s="144">
        <v>0</v>
      </c>
      <c r="J34" s="144">
        <f>+G34</f>
        <v>359111</v>
      </c>
      <c r="K34" s="145"/>
      <c r="O34" s="160"/>
    </row>
    <row r="35" spans="2:15" ht="15.6" thickBot="1">
      <c r="B35" s="341" t="s">
        <v>77</v>
      </c>
      <c r="C35" s="342"/>
      <c r="D35" s="171">
        <v>0</v>
      </c>
      <c r="F35" s="146"/>
      <c r="G35" s="148"/>
      <c r="H35" s="148"/>
      <c r="I35" s="148"/>
      <c r="J35" s="148"/>
      <c r="K35" s="149"/>
      <c r="O35" s="160"/>
    </row>
    <row r="36" spans="2:15" ht="15.6" thickBot="1">
      <c r="B36" s="341" t="s">
        <v>71</v>
      </c>
      <c r="C36" s="342"/>
      <c r="D36" s="171">
        <v>0</v>
      </c>
      <c r="F36" s="150" t="s">
        <v>80</v>
      </c>
      <c r="G36" s="152">
        <f>SUM(G28:G34)</f>
        <v>362939</v>
      </c>
      <c r="H36" s="152">
        <f t="shared" ref="H36:J36" si="0">SUM(H28:H34)</f>
        <v>-7251</v>
      </c>
      <c r="I36" s="152">
        <f t="shared" si="0"/>
        <v>-1849.6578</v>
      </c>
      <c r="J36" s="152">
        <f t="shared" si="0"/>
        <v>380837.97220000002</v>
      </c>
      <c r="K36" s="149"/>
      <c r="O36" s="160"/>
    </row>
    <row r="37" spans="2:15">
      <c r="B37" s="341" t="s">
        <v>72</v>
      </c>
      <c r="C37" s="342"/>
      <c r="D37" s="171">
        <f>+'Forecast Fall 24'!E84</f>
        <v>6173.77</v>
      </c>
      <c r="O37" s="160"/>
    </row>
    <row r="38" spans="2:15">
      <c r="B38" s="341" t="s">
        <v>73</v>
      </c>
      <c r="C38" s="342"/>
      <c r="D38" s="171">
        <f>+'Forecast Fall 24'!E85</f>
        <v>30351</v>
      </c>
      <c r="O38" s="160"/>
    </row>
    <row r="39" spans="2:15">
      <c r="B39" s="172" t="s">
        <v>74</v>
      </c>
      <c r="C39" s="173"/>
      <c r="D39" s="171"/>
      <c r="O39" s="160"/>
    </row>
    <row r="40" spans="2:15">
      <c r="B40" s="172" t="s">
        <v>190</v>
      </c>
      <c r="C40" s="173"/>
      <c r="D40" s="171"/>
      <c r="O40" s="160"/>
    </row>
    <row r="41" spans="2:15">
      <c r="B41" s="172" t="s">
        <v>76</v>
      </c>
      <c r="C41" s="173"/>
      <c r="D41" s="171">
        <f>+'Forecast Fall 24'!E88</f>
        <v>11859.56</v>
      </c>
      <c r="O41" s="160"/>
    </row>
    <row r="42" spans="2:15">
      <c r="B42" s="172" t="s">
        <v>75</v>
      </c>
      <c r="C42" s="173"/>
      <c r="D42" s="171">
        <f>+'Forecast Fall 24'!E87</f>
        <v>54305.74</v>
      </c>
      <c r="O42" s="160"/>
    </row>
    <row r="43" spans="2:15">
      <c r="B43" s="343" t="s">
        <v>78</v>
      </c>
      <c r="C43" s="344"/>
      <c r="D43" s="171">
        <f>+'Forecast Fall 24'!E90</f>
        <v>94658.48000000001</v>
      </c>
      <c r="O43" s="160"/>
    </row>
    <row r="44" spans="2:15">
      <c r="B44" s="341" t="s">
        <v>79</v>
      </c>
      <c r="C44" s="342"/>
      <c r="D44" s="171">
        <f>+'Forecast Fall 24'!E91</f>
        <v>47423.24</v>
      </c>
      <c r="O44" s="160"/>
    </row>
    <row r="45" spans="2:15" ht="15.6" thickBot="1">
      <c r="B45" s="345" t="s">
        <v>80</v>
      </c>
      <c r="C45" s="346"/>
      <c r="D45" s="174">
        <f>SUM(D26:D44)</f>
        <v>592214.08000000007</v>
      </c>
      <c r="O45" s="160"/>
    </row>
    <row r="46" spans="2:15">
      <c r="B46" s="175"/>
      <c r="C46" s="176"/>
      <c r="D46" s="177"/>
      <c r="O46" s="160"/>
    </row>
    <row r="47" spans="2:15" ht="15.6" thickBot="1">
      <c r="B47" s="178"/>
      <c r="C47" s="179"/>
      <c r="D47" s="180"/>
      <c r="E47" s="181"/>
      <c r="F47" s="181"/>
      <c r="G47" s="181"/>
      <c r="H47" s="181"/>
      <c r="I47" s="181"/>
      <c r="J47" s="181"/>
      <c r="K47" s="181"/>
      <c r="L47" s="181"/>
      <c r="M47" s="181"/>
      <c r="N47" s="181"/>
      <c r="O47" s="182"/>
    </row>
    <row r="48" spans="2:15" ht="16.149999999999999" thickTop="1">
      <c r="B48" s="347" t="s">
        <v>191</v>
      </c>
      <c r="C48" s="347"/>
    </row>
    <row r="50" spans="2:24">
      <c r="B50" s="158" t="s">
        <v>192</v>
      </c>
      <c r="C50" s="158" t="s">
        <v>193</v>
      </c>
    </row>
    <row r="51" spans="2:24">
      <c r="B51" s="158" t="s">
        <v>194</v>
      </c>
    </row>
    <row r="52" spans="2:24">
      <c r="B52" s="158" t="s">
        <v>195</v>
      </c>
      <c r="C52" s="158" t="s">
        <v>196</v>
      </c>
    </row>
    <row r="53" spans="2:24">
      <c r="N53" s="158">
        <f>3*12</f>
        <v>36</v>
      </c>
    </row>
    <row r="55" spans="2:24">
      <c r="B55" s="153" t="s">
        <v>89</v>
      </c>
      <c r="C55" s="4"/>
      <c r="D55" s="4"/>
      <c r="E55" s="4"/>
      <c r="F55" s="26"/>
      <c r="G55" s="26"/>
      <c r="H55" s="26"/>
      <c r="I55" s="26"/>
      <c r="J55" s="26"/>
      <c r="K55" s="4"/>
      <c r="L55" s="4"/>
      <c r="M55" s="4"/>
      <c r="N55" s="4"/>
      <c r="O55" s="4"/>
      <c r="P55" s="4"/>
      <c r="Q55" s="4"/>
      <c r="R55" s="4"/>
      <c r="S55" s="4"/>
      <c r="T55" s="4"/>
      <c r="U55" s="4"/>
      <c r="V55" s="4"/>
      <c r="W55" s="4"/>
      <c r="X55" s="4"/>
    </row>
    <row r="56" spans="2:24" ht="25.15" customHeight="1">
      <c r="B56" s="124" t="s">
        <v>105</v>
      </c>
      <c r="C56" s="4" t="s">
        <v>197</v>
      </c>
      <c r="D56" s="4"/>
      <c r="E56" s="4"/>
      <c r="F56" s="4"/>
      <c r="G56" s="4"/>
      <c r="H56" s="4"/>
      <c r="I56" s="4"/>
      <c r="J56" s="4"/>
      <c r="K56" s="4"/>
      <c r="L56" s="4"/>
      <c r="M56" s="4"/>
      <c r="N56" s="4"/>
      <c r="O56" s="4"/>
      <c r="P56" s="4"/>
      <c r="Q56" s="4"/>
      <c r="R56" s="4"/>
      <c r="S56" s="4"/>
      <c r="T56" s="4"/>
      <c r="U56" s="4"/>
      <c r="V56" s="4"/>
      <c r="W56" s="4"/>
      <c r="X56" s="4"/>
    </row>
    <row r="57" spans="2:24" ht="25.15" customHeight="1">
      <c r="B57" s="298" t="s">
        <v>107</v>
      </c>
      <c r="C57" s="297" t="s">
        <v>198</v>
      </c>
      <c r="D57" s="297"/>
      <c r="E57" s="297"/>
      <c r="F57" s="297"/>
      <c r="G57" s="297"/>
      <c r="H57" s="297"/>
      <c r="I57" s="297"/>
      <c r="J57" s="297"/>
      <c r="K57" s="4"/>
      <c r="L57" s="4"/>
      <c r="M57" s="4"/>
      <c r="N57" s="4"/>
      <c r="O57" s="4"/>
      <c r="P57" s="4"/>
      <c r="Q57" s="4"/>
      <c r="R57" s="4"/>
      <c r="S57" s="4"/>
      <c r="T57" s="4"/>
      <c r="U57" s="4"/>
      <c r="V57" s="4"/>
      <c r="W57" s="4"/>
      <c r="X57" s="4"/>
    </row>
    <row r="58" spans="2:24" ht="25.15" customHeight="1">
      <c r="B58" s="298"/>
      <c r="C58" s="297" t="s">
        <v>199</v>
      </c>
      <c r="D58" s="297"/>
      <c r="E58" s="297"/>
      <c r="F58" s="297"/>
      <c r="G58" s="297"/>
      <c r="H58" s="297"/>
      <c r="I58" s="297"/>
      <c r="J58" s="297"/>
      <c r="K58" s="4"/>
      <c r="L58" s="4"/>
      <c r="M58" s="4"/>
      <c r="N58" s="4"/>
      <c r="O58" s="4"/>
      <c r="P58" s="4"/>
      <c r="Q58" s="4"/>
      <c r="R58" s="4"/>
      <c r="S58" s="4"/>
      <c r="T58" s="4"/>
      <c r="U58" s="4"/>
      <c r="V58" s="4"/>
      <c r="W58" s="4"/>
      <c r="X58" s="4"/>
    </row>
    <row r="59" spans="2:24" ht="25.15" customHeight="1">
      <c r="B59" s="124" t="s">
        <v>110</v>
      </c>
      <c r="C59" s="4" t="s">
        <v>111</v>
      </c>
      <c r="D59" s="4"/>
      <c r="E59" s="4"/>
      <c r="F59" s="4"/>
      <c r="G59" s="26"/>
      <c r="H59" s="26"/>
      <c r="I59" s="26"/>
      <c r="J59" s="26"/>
      <c r="K59" s="4"/>
      <c r="L59" s="4"/>
      <c r="M59" s="4"/>
      <c r="N59" s="4"/>
      <c r="O59" s="4"/>
      <c r="P59" s="4"/>
      <c r="Q59" s="4"/>
      <c r="R59" s="4"/>
      <c r="S59" s="4"/>
      <c r="T59" s="4"/>
      <c r="U59" s="4"/>
      <c r="V59" s="4"/>
      <c r="W59" s="4"/>
      <c r="X59" s="4"/>
    </row>
    <row r="60" spans="2:24" ht="25.15" customHeight="1">
      <c r="B60" s="124" t="s">
        <v>112</v>
      </c>
      <c r="C60" s="4" t="s">
        <v>200</v>
      </c>
      <c r="D60" s="4"/>
      <c r="E60" s="4"/>
      <c r="F60" s="4"/>
      <c r="G60" s="26"/>
      <c r="H60" s="26"/>
      <c r="I60" s="26"/>
      <c r="J60" s="26"/>
      <c r="K60" s="4"/>
      <c r="L60" s="4"/>
      <c r="M60" s="4"/>
      <c r="N60" s="4"/>
      <c r="O60" s="4"/>
      <c r="P60" s="4"/>
      <c r="Q60" s="4"/>
      <c r="R60" s="4"/>
      <c r="S60" s="4"/>
      <c r="T60" s="4"/>
      <c r="U60" s="4"/>
      <c r="V60" s="4"/>
      <c r="W60" s="4"/>
      <c r="X60" s="4"/>
    </row>
    <row r="61" spans="2:24" ht="25.15" customHeight="1">
      <c r="B61" s="124"/>
      <c r="C61" s="4"/>
      <c r="D61" s="4"/>
      <c r="E61" s="4"/>
      <c r="F61" s="4"/>
      <c r="G61" s="26"/>
      <c r="H61" s="26"/>
      <c r="I61" s="26"/>
      <c r="J61" s="26"/>
      <c r="K61" s="4"/>
      <c r="L61" s="4"/>
      <c r="M61" s="4"/>
      <c r="N61" s="4"/>
      <c r="O61" s="4"/>
      <c r="P61" s="4"/>
      <c r="Q61" s="4"/>
      <c r="R61" s="4"/>
      <c r="S61" s="4"/>
      <c r="T61" s="4"/>
      <c r="U61" s="4"/>
      <c r="V61" s="4"/>
      <c r="W61" s="4"/>
      <c r="X61" s="4"/>
    </row>
    <row r="62" spans="2:24" ht="25.15" customHeight="1">
      <c r="B62" s="124" t="s">
        <v>114</v>
      </c>
      <c r="C62" s="4" t="s">
        <v>115</v>
      </c>
      <c r="D62" s="4"/>
      <c r="E62" s="4"/>
      <c r="F62" s="4"/>
      <c r="G62" s="26"/>
      <c r="H62" s="26"/>
      <c r="I62" s="26"/>
      <c r="J62" s="26"/>
      <c r="K62" s="4"/>
      <c r="L62" s="4"/>
      <c r="M62" s="4"/>
      <c r="N62" s="4"/>
      <c r="O62" s="4"/>
      <c r="P62" s="4"/>
      <c r="Q62" s="4"/>
      <c r="R62" s="4"/>
      <c r="S62" s="4"/>
      <c r="T62" s="4"/>
      <c r="U62" s="4"/>
      <c r="V62" s="4"/>
      <c r="W62" s="4"/>
      <c r="X62" s="4"/>
    </row>
    <row r="63" spans="2:24" ht="25.15" customHeight="1">
      <c r="B63" s="124" t="s">
        <v>116</v>
      </c>
      <c r="C63" s="4" t="s">
        <v>201</v>
      </c>
      <c r="D63" s="4"/>
      <c r="E63" s="4"/>
      <c r="F63" s="4"/>
      <c r="G63" s="26"/>
      <c r="H63" s="26"/>
      <c r="I63" s="26"/>
      <c r="J63" s="26"/>
      <c r="K63" s="4"/>
      <c r="L63" s="4"/>
      <c r="M63" s="4"/>
      <c r="N63" s="4"/>
      <c r="O63" s="4"/>
      <c r="P63" s="4"/>
      <c r="Q63" s="4"/>
      <c r="R63" s="4"/>
      <c r="S63" s="4"/>
      <c r="T63" s="4"/>
      <c r="U63" s="4"/>
      <c r="V63" s="4"/>
      <c r="W63" s="4"/>
      <c r="X63" s="4"/>
    </row>
    <row r="64" spans="2:24" ht="25.15" customHeight="1">
      <c r="B64" s="124" t="s">
        <v>118</v>
      </c>
      <c r="C64" s="297" t="s">
        <v>202</v>
      </c>
      <c r="D64" s="297"/>
      <c r="E64" s="297"/>
      <c r="F64" s="297"/>
      <c r="G64" s="297"/>
      <c r="H64" s="297"/>
      <c r="I64" s="297"/>
      <c r="J64" s="297"/>
      <c r="K64" s="4"/>
      <c r="L64" s="4"/>
      <c r="M64" s="4"/>
      <c r="N64" s="4"/>
      <c r="O64" s="4"/>
      <c r="P64" s="4"/>
      <c r="Q64" s="4"/>
      <c r="R64" s="4"/>
      <c r="S64" s="4"/>
      <c r="T64" s="4"/>
      <c r="U64" s="4"/>
      <c r="V64" s="4"/>
      <c r="W64" s="4"/>
      <c r="X64" s="4"/>
    </row>
    <row r="65" spans="2:24" ht="25.15" customHeight="1">
      <c r="B65" s="124"/>
      <c r="C65" s="156"/>
      <c r="D65" s="156"/>
      <c r="E65" s="156"/>
      <c r="F65" s="156"/>
      <c r="G65" s="156"/>
      <c r="H65" s="156"/>
      <c r="I65" s="156"/>
      <c r="J65" s="156"/>
      <c r="K65" s="4"/>
      <c r="L65" s="4"/>
      <c r="M65" s="4"/>
      <c r="N65" s="4"/>
      <c r="O65" s="4"/>
      <c r="P65" s="4"/>
      <c r="Q65" s="4"/>
      <c r="R65" s="4"/>
      <c r="S65" s="4"/>
      <c r="T65" s="4"/>
      <c r="U65" s="4"/>
      <c r="V65" s="4"/>
      <c r="W65" s="4"/>
      <c r="X65" s="4"/>
    </row>
    <row r="66" spans="2:24" ht="25.15" customHeight="1">
      <c r="B66" s="124" t="s">
        <v>120</v>
      </c>
      <c r="C66" s="297" t="s">
        <v>203</v>
      </c>
      <c r="D66" s="297"/>
      <c r="E66" s="297"/>
      <c r="F66" s="297"/>
      <c r="G66" s="297"/>
      <c r="H66" s="297"/>
      <c r="I66" s="297"/>
      <c r="J66" s="297"/>
      <c r="K66" s="4"/>
      <c r="L66" s="4"/>
      <c r="M66" s="4"/>
      <c r="N66" s="4"/>
      <c r="O66" s="4"/>
      <c r="P66" s="4"/>
      <c r="Q66" s="4"/>
      <c r="R66" s="4"/>
      <c r="S66" s="4"/>
      <c r="T66" s="4"/>
      <c r="U66" s="4"/>
      <c r="V66" s="4"/>
      <c r="W66" s="4"/>
      <c r="X66" s="4"/>
    </row>
    <row r="67" spans="2:24" ht="25.15" customHeight="1">
      <c r="B67" s="124" t="s">
        <v>122</v>
      </c>
      <c r="C67" s="297" t="s">
        <v>123</v>
      </c>
      <c r="D67" s="297"/>
      <c r="E67" s="297"/>
      <c r="F67" s="297"/>
      <c r="G67" s="297"/>
      <c r="H67" s="297"/>
      <c r="I67" s="297"/>
      <c r="J67" s="297"/>
      <c r="K67" s="4"/>
      <c r="L67" s="4"/>
      <c r="M67" s="4"/>
      <c r="N67" s="4"/>
      <c r="O67" s="4"/>
      <c r="P67" s="4"/>
      <c r="Q67" s="4"/>
      <c r="R67" s="4"/>
      <c r="S67" s="4"/>
      <c r="T67" s="4"/>
      <c r="U67" s="4"/>
      <c r="V67" s="4"/>
      <c r="W67" s="4"/>
      <c r="X67" s="4"/>
    </row>
    <row r="68" spans="2:24" ht="25.15" customHeight="1">
      <c r="B68" s="124" t="s">
        <v>124</v>
      </c>
      <c r="C68" s="297" t="s">
        <v>204</v>
      </c>
      <c r="D68" s="297"/>
      <c r="E68" s="297"/>
      <c r="F68" s="297"/>
      <c r="G68" s="297"/>
      <c r="H68" s="297"/>
      <c r="I68" s="297"/>
      <c r="J68" s="297"/>
      <c r="K68" s="4"/>
      <c r="L68" s="4"/>
      <c r="M68" s="4"/>
      <c r="N68" s="4"/>
      <c r="O68" s="4"/>
      <c r="P68" s="4"/>
      <c r="Q68" s="4"/>
      <c r="R68" s="4"/>
      <c r="S68" s="4"/>
      <c r="T68" s="4"/>
      <c r="U68" s="4"/>
      <c r="V68" s="4"/>
      <c r="W68" s="4"/>
      <c r="X68" s="4"/>
    </row>
    <row r="69" spans="2:24" ht="25.15" customHeight="1">
      <c r="B69" s="4"/>
      <c r="C69" s="4" t="s">
        <v>205</v>
      </c>
      <c r="D69" s="4"/>
      <c r="E69" s="4"/>
      <c r="F69" s="26"/>
      <c r="G69" s="26"/>
      <c r="H69" s="26"/>
      <c r="I69" s="26"/>
      <c r="J69" s="26"/>
      <c r="K69" s="4"/>
      <c r="L69" s="4"/>
      <c r="M69" s="4"/>
      <c r="N69" s="4"/>
      <c r="O69" s="4"/>
      <c r="P69" s="4"/>
      <c r="Q69" s="4"/>
      <c r="R69" s="4"/>
      <c r="S69" s="4"/>
      <c r="T69" s="4"/>
      <c r="U69" s="4"/>
      <c r="V69" s="4"/>
      <c r="W69" s="4"/>
      <c r="X69" s="4"/>
    </row>
    <row r="70" spans="2:24" ht="25.15" customHeight="1">
      <c r="B70" s="4"/>
      <c r="C70" s="4" t="s">
        <v>127</v>
      </c>
      <c r="D70" s="4"/>
      <c r="E70" s="4"/>
      <c r="F70" s="26"/>
      <c r="G70" s="26"/>
      <c r="H70" s="26"/>
      <c r="I70" s="26"/>
      <c r="J70" s="26"/>
      <c r="K70" s="4"/>
      <c r="L70" s="4"/>
      <c r="M70" s="4"/>
      <c r="N70" s="4"/>
      <c r="O70" s="4"/>
      <c r="P70" s="4"/>
      <c r="Q70" s="4"/>
      <c r="R70" s="4"/>
      <c r="S70" s="4"/>
      <c r="T70" s="4"/>
      <c r="U70" s="4"/>
      <c r="V70" s="4"/>
      <c r="W70" s="4"/>
      <c r="X70" s="4"/>
    </row>
    <row r="71" spans="2:24" ht="25.15" customHeight="1">
      <c r="B71" s="4"/>
      <c r="C71" s="4"/>
      <c r="D71" s="4"/>
      <c r="E71" s="4"/>
      <c r="F71" s="26"/>
      <c r="G71" s="26"/>
      <c r="H71" s="26"/>
      <c r="I71" s="26"/>
      <c r="J71" s="26"/>
      <c r="K71" s="4"/>
      <c r="L71" s="4"/>
      <c r="M71" s="4"/>
      <c r="N71" s="4"/>
      <c r="O71" s="4"/>
      <c r="P71" s="4"/>
      <c r="Q71" s="4"/>
      <c r="R71" s="4"/>
      <c r="S71" s="4"/>
      <c r="T71" s="4"/>
      <c r="U71" s="4"/>
      <c r="V71" s="4"/>
      <c r="W71" s="4"/>
      <c r="X71" s="4"/>
    </row>
    <row r="72" spans="2:24" ht="25.15" hidden="1" customHeight="1">
      <c r="B72" s="4"/>
      <c r="C72" s="4"/>
      <c r="D72" s="4"/>
      <c r="E72" s="4"/>
      <c r="F72" s="26"/>
      <c r="G72" s="26"/>
      <c r="H72" s="26"/>
      <c r="I72" s="26"/>
      <c r="J72" s="26"/>
      <c r="K72" s="4"/>
      <c r="L72" s="4"/>
      <c r="M72" s="4"/>
      <c r="N72" s="4"/>
      <c r="O72" s="4"/>
      <c r="P72" s="4"/>
      <c r="Q72" s="4"/>
      <c r="R72" s="4"/>
      <c r="S72" s="4"/>
      <c r="T72" s="4"/>
      <c r="U72" s="4"/>
      <c r="V72" s="4"/>
      <c r="W72" s="4"/>
      <c r="X72" s="4"/>
    </row>
    <row r="73" spans="2:24" ht="25.15" hidden="1" customHeight="1">
      <c r="B73" s="4"/>
      <c r="C73" s="4"/>
      <c r="D73" s="4"/>
      <c r="E73" s="4"/>
      <c r="F73" s="26"/>
      <c r="G73" s="26"/>
      <c r="H73" s="26"/>
      <c r="I73" s="26"/>
      <c r="J73" s="26"/>
      <c r="K73" s="4"/>
      <c r="L73" s="4"/>
      <c r="M73" s="4"/>
      <c r="N73" s="4"/>
      <c r="O73" s="4"/>
      <c r="P73" s="4"/>
      <c r="Q73" s="4"/>
      <c r="R73" s="4"/>
      <c r="S73" s="4"/>
      <c r="T73" s="4"/>
      <c r="U73" s="4"/>
      <c r="V73" s="4"/>
      <c r="W73" s="4"/>
      <c r="X73" s="4"/>
    </row>
    <row r="74" spans="2:24" ht="25.15" hidden="1" customHeight="1">
      <c r="B74" s="4"/>
      <c r="C74" s="6"/>
      <c r="D74" s="6"/>
      <c r="E74" s="6"/>
      <c r="F74" s="6"/>
      <c r="G74" s="154"/>
      <c r="H74" s="154"/>
      <c r="I74" s="154"/>
      <c r="J74" s="154"/>
      <c r="K74" s="4"/>
      <c r="L74" s="4"/>
      <c r="M74" s="4"/>
      <c r="N74" s="4"/>
      <c r="O74" s="4"/>
      <c r="P74" s="4"/>
      <c r="Q74" s="4"/>
      <c r="R74" s="4"/>
      <c r="S74" s="4"/>
      <c r="T74" s="4"/>
      <c r="U74" s="4"/>
      <c r="V74" s="4"/>
      <c r="W74" s="4"/>
      <c r="X74" s="4"/>
    </row>
    <row r="75" spans="2:24" ht="25.15" customHeight="1">
      <c r="B75" s="124" t="s">
        <v>128</v>
      </c>
      <c r="C75" s="155" t="s">
        <v>206</v>
      </c>
      <c r="D75" s="156"/>
      <c r="E75" s="156"/>
      <c r="F75" s="156"/>
      <c r="G75" s="156"/>
      <c r="H75" s="156"/>
      <c r="I75" s="156"/>
      <c r="J75" s="156"/>
      <c r="K75" s="4"/>
      <c r="L75" s="4"/>
      <c r="M75" s="4"/>
      <c r="N75" s="4"/>
      <c r="O75" s="4"/>
      <c r="P75" s="4"/>
      <c r="Q75" s="4"/>
      <c r="R75" s="4"/>
      <c r="S75" s="4"/>
      <c r="T75" s="4"/>
      <c r="U75" s="4"/>
      <c r="V75" s="4"/>
      <c r="W75" s="4"/>
      <c r="X75" s="4"/>
    </row>
    <row r="76" spans="2:24" ht="25.15" customHeight="1">
      <c r="B76" s="124"/>
      <c r="C76" s="155" t="s">
        <v>207</v>
      </c>
      <c r="D76" s="156"/>
      <c r="E76" s="156"/>
      <c r="F76" s="156"/>
      <c r="G76" s="156"/>
      <c r="H76" s="156"/>
      <c r="I76" s="156"/>
      <c r="J76" s="156"/>
      <c r="K76" s="4"/>
      <c r="L76" s="4"/>
      <c r="M76" s="4"/>
      <c r="N76" s="4"/>
      <c r="O76" s="4"/>
      <c r="P76" s="4"/>
      <c r="Q76" s="4"/>
      <c r="R76" s="4"/>
      <c r="S76" s="4"/>
      <c r="T76" s="4"/>
      <c r="U76" s="4"/>
      <c r="V76" s="4"/>
      <c r="W76" s="4"/>
      <c r="X76" s="4"/>
    </row>
    <row r="77" spans="2:24" ht="25.15" hidden="1" customHeight="1">
      <c r="B77" s="124"/>
      <c r="C77" s="155"/>
      <c r="D77" s="156"/>
      <c r="E77" s="156"/>
      <c r="F77" s="156"/>
      <c r="G77" s="156"/>
      <c r="H77" s="156"/>
      <c r="I77" s="156"/>
      <c r="J77" s="156"/>
      <c r="K77" s="4"/>
      <c r="L77" s="4"/>
      <c r="M77" s="4"/>
      <c r="N77" s="4"/>
      <c r="O77" s="4"/>
      <c r="P77" s="4"/>
      <c r="Q77" s="4"/>
      <c r="R77" s="4"/>
      <c r="S77" s="4"/>
      <c r="T77" s="4"/>
      <c r="U77" s="4"/>
      <c r="V77" s="4"/>
      <c r="W77" s="4"/>
      <c r="X77" s="4"/>
    </row>
    <row r="78" spans="2:24" ht="25.15" hidden="1" customHeight="1">
      <c r="B78" s="4"/>
      <c r="C78" s="4"/>
      <c r="D78" s="4"/>
      <c r="E78" s="4"/>
      <c r="F78" s="26"/>
      <c r="G78" s="26"/>
      <c r="H78" s="26"/>
      <c r="I78" s="26"/>
      <c r="J78" s="26"/>
      <c r="K78" s="4"/>
      <c r="L78" s="4"/>
      <c r="M78" s="4"/>
      <c r="N78" s="4"/>
      <c r="O78" s="4"/>
      <c r="P78" s="4"/>
      <c r="Q78" s="4"/>
      <c r="R78" s="4"/>
      <c r="S78" s="4"/>
      <c r="T78" s="4"/>
      <c r="U78" s="4"/>
      <c r="V78" s="4"/>
      <c r="W78" s="4"/>
      <c r="X78" s="4"/>
    </row>
    <row r="79" spans="2:24" ht="21" customHeight="1">
      <c r="B79" s="4"/>
      <c r="C79" s="6"/>
      <c r="D79" s="6"/>
      <c r="E79" s="6"/>
      <c r="F79" s="6"/>
      <c r="G79" s="154"/>
      <c r="H79" s="154"/>
      <c r="I79" s="154"/>
      <c r="J79" s="154"/>
      <c r="K79" s="4"/>
      <c r="L79" s="4"/>
      <c r="M79" s="4"/>
      <c r="N79" s="4"/>
      <c r="O79" s="4"/>
      <c r="P79" s="4"/>
      <c r="Q79" s="4"/>
      <c r="R79" s="4"/>
      <c r="S79" s="4"/>
      <c r="T79" s="4"/>
      <c r="U79" s="4"/>
      <c r="V79" s="4"/>
      <c r="W79" s="4"/>
      <c r="X79" s="4"/>
    </row>
    <row r="80" spans="2:24" ht="25.15" customHeight="1">
      <c r="B80" s="4"/>
      <c r="C80" s="6"/>
      <c r="D80" s="6"/>
      <c r="E80" s="6"/>
      <c r="F80" s="6"/>
      <c r="G80" s="154"/>
      <c r="H80" s="154"/>
      <c r="I80" s="154"/>
      <c r="J80" s="154"/>
      <c r="K80" s="4"/>
      <c r="L80" s="4"/>
      <c r="M80" s="4"/>
      <c r="N80" s="4"/>
      <c r="O80" s="4"/>
      <c r="P80" s="4"/>
      <c r="Q80" s="4"/>
      <c r="R80" s="4"/>
      <c r="S80" s="4"/>
      <c r="T80" s="4"/>
      <c r="U80" s="4"/>
      <c r="V80" s="4"/>
      <c r="W80" s="4"/>
      <c r="X80" s="4"/>
    </row>
    <row r="81" spans="2:24" ht="25.15" customHeight="1">
      <c r="B81" s="4"/>
      <c r="C81" s="6"/>
      <c r="D81" s="6"/>
      <c r="E81" s="6"/>
      <c r="F81" s="6"/>
      <c r="G81" s="154"/>
      <c r="H81" s="154"/>
      <c r="I81" s="154"/>
      <c r="J81" s="154"/>
      <c r="K81" s="4"/>
      <c r="L81" s="4"/>
      <c r="M81" s="4"/>
      <c r="N81" s="4"/>
      <c r="O81" s="4"/>
      <c r="P81" s="4"/>
      <c r="Q81" s="4"/>
      <c r="R81" s="4"/>
      <c r="S81" s="4"/>
      <c r="T81" s="4"/>
      <c r="U81" s="4"/>
      <c r="V81" s="4"/>
      <c r="W81" s="4"/>
      <c r="X81" s="4"/>
    </row>
    <row r="82" spans="2:24" ht="25.15" customHeight="1">
      <c r="B82" s="4"/>
      <c r="C82" s="4"/>
      <c r="D82" s="6"/>
      <c r="E82" s="6"/>
      <c r="F82" s="6"/>
      <c r="G82" s="154"/>
      <c r="H82" s="154"/>
      <c r="I82" s="154"/>
      <c r="J82" s="154"/>
      <c r="K82" s="4"/>
      <c r="L82" s="4"/>
      <c r="M82" s="4"/>
      <c r="N82" s="4"/>
      <c r="O82" s="4"/>
      <c r="P82" s="4"/>
      <c r="Q82" s="4"/>
      <c r="R82" s="4"/>
      <c r="S82" s="4"/>
      <c r="T82" s="4"/>
      <c r="U82" s="4"/>
      <c r="V82" s="4"/>
      <c r="W82" s="4"/>
      <c r="X82" s="4"/>
    </row>
    <row r="83" spans="2:24" ht="25.15" customHeight="1">
      <c r="B83" s="4"/>
      <c r="C83" s="4"/>
      <c r="D83" s="4"/>
      <c r="E83" s="4"/>
      <c r="F83" s="26"/>
      <c r="G83" s="26"/>
      <c r="H83" s="26"/>
      <c r="I83" s="26"/>
      <c r="J83" s="26"/>
      <c r="K83" s="4"/>
      <c r="L83" s="4"/>
      <c r="M83" s="4"/>
      <c r="N83" s="4"/>
      <c r="O83" s="4"/>
      <c r="P83" s="4"/>
      <c r="Q83" s="4"/>
      <c r="R83" s="4"/>
      <c r="S83" s="4"/>
      <c r="T83" s="4"/>
      <c r="U83" s="4"/>
      <c r="V83" s="4"/>
      <c r="W83" s="4"/>
      <c r="X83" s="4"/>
    </row>
    <row r="84" spans="2:24" ht="25.15" customHeight="1">
      <c r="B84" s="4"/>
      <c r="C84" s="157"/>
      <c r="D84" s="4"/>
      <c r="E84" s="4"/>
      <c r="F84" s="26"/>
      <c r="G84" s="26"/>
      <c r="H84" s="26"/>
      <c r="I84" s="26"/>
      <c r="J84" s="26"/>
      <c r="K84" s="4"/>
      <c r="L84" s="4"/>
      <c r="M84" s="4"/>
      <c r="N84" s="4"/>
      <c r="O84" s="4"/>
      <c r="P84" s="4"/>
      <c r="Q84" s="4"/>
      <c r="R84" s="4"/>
      <c r="S84" s="4"/>
      <c r="T84" s="4"/>
      <c r="U84" s="4"/>
      <c r="V84" s="4"/>
      <c r="W84" s="4"/>
      <c r="X84" s="4"/>
    </row>
    <row r="85" spans="2:24" ht="25.15" customHeight="1">
      <c r="B85" s="4"/>
      <c r="C85" s="157"/>
      <c r="D85" s="4"/>
      <c r="E85" s="4"/>
      <c r="F85" s="26"/>
      <c r="G85" s="26"/>
      <c r="H85" s="26"/>
      <c r="I85" s="26"/>
      <c r="J85" s="26"/>
      <c r="K85" s="4"/>
      <c r="L85" s="4"/>
      <c r="M85" s="4"/>
      <c r="N85" s="4"/>
      <c r="O85" s="4"/>
      <c r="P85" s="4"/>
      <c r="Q85" s="4"/>
      <c r="R85" s="4"/>
      <c r="S85" s="4"/>
      <c r="T85" s="4"/>
      <c r="U85" s="4"/>
      <c r="V85" s="4"/>
      <c r="W85" s="4"/>
      <c r="X85" s="4"/>
    </row>
    <row r="86" spans="2:24" ht="25.15" customHeight="1">
      <c r="B86" s="4"/>
      <c r="C86" s="157"/>
      <c r="D86" s="4"/>
      <c r="E86" s="4"/>
      <c r="F86" s="26"/>
      <c r="G86" s="26"/>
      <c r="H86" s="26"/>
      <c r="I86" s="26"/>
      <c r="J86" s="26"/>
      <c r="K86" s="4"/>
      <c r="L86" s="4"/>
      <c r="M86" s="4"/>
      <c r="N86" s="4"/>
      <c r="O86" s="4"/>
      <c r="P86" s="4"/>
      <c r="Q86" s="4"/>
      <c r="R86" s="4"/>
      <c r="S86" s="4"/>
      <c r="T86" s="4"/>
      <c r="U86" s="4"/>
      <c r="V86" s="4"/>
      <c r="W86" s="4"/>
      <c r="X86" s="4"/>
    </row>
    <row r="87" spans="2:24" ht="25.15" customHeight="1">
      <c r="B87" s="4"/>
      <c r="C87" s="157"/>
      <c r="D87" s="4"/>
      <c r="E87" s="4"/>
      <c r="F87" s="26"/>
      <c r="G87" s="26"/>
      <c r="H87" s="26"/>
      <c r="I87" s="26"/>
      <c r="J87" s="26"/>
      <c r="K87" s="4"/>
      <c r="L87" s="4"/>
      <c r="M87" s="4"/>
      <c r="N87" s="4"/>
      <c r="O87" s="4"/>
      <c r="P87" s="4"/>
      <c r="Q87" s="4"/>
      <c r="R87" s="4"/>
      <c r="S87" s="4"/>
      <c r="T87" s="4"/>
      <c r="U87" s="4"/>
      <c r="V87" s="4"/>
      <c r="W87" s="4"/>
      <c r="X87" s="4"/>
    </row>
    <row r="88" spans="2:24" ht="25.15" customHeight="1">
      <c r="B88" s="4"/>
      <c r="C88" s="157"/>
      <c r="D88" s="4"/>
      <c r="E88" s="4"/>
      <c r="F88" s="26"/>
      <c r="G88" s="26"/>
      <c r="H88" s="26"/>
      <c r="I88" s="26"/>
      <c r="J88" s="26"/>
      <c r="K88" s="4"/>
      <c r="L88" s="4"/>
      <c r="M88" s="4"/>
      <c r="N88" s="4"/>
      <c r="O88" s="4"/>
      <c r="P88" s="4"/>
      <c r="Q88" s="4"/>
      <c r="R88" s="4"/>
      <c r="S88" s="4"/>
      <c r="T88" s="4"/>
      <c r="U88" s="4"/>
      <c r="V88" s="4"/>
      <c r="W88" s="4"/>
      <c r="X88" s="4"/>
    </row>
    <row r="89" spans="2:24" ht="25.15" customHeight="1">
      <c r="B89" s="4"/>
      <c r="C89" s="4"/>
      <c r="D89" s="4"/>
      <c r="E89" s="4"/>
      <c r="F89" s="26"/>
      <c r="G89" s="26"/>
      <c r="H89" s="26"/>
      <c r="I89" s="26"/>
      <c r="J89" s="26"/>
      <c r="K89" s="4"/>
      <c r="L89" s="4"/>
      <c r="M89" s="4"/>
      <c r="N89" s="4"/>
      <c r="O89" s="4"/>
      <c r="P89" s="4"/>
      <c r="Q89" s="4"/>
      <c r="R89" s="4"/>
      <c r="S89" s="4"/>
      <c r="T89" s="4"/>
      <c r="U89" s="4"/>
      <c r="V89" s="4"/>
      <c r="W89" s="4"/>
      <c r="X89" s="4"/>
    </row>
    <row r="90" spans="2:24" ht="25.15" customHeight="1">
      <c r="B90" s="4"/>
      <c r="C90" s="4"/>
      <c r="D90" s="4"/>
      <c r="E90" s="4"/>
      <c r="F90" s="26"/>
      <c r="G90" s="26"/>
      <c r="H90" s="26"/>
      <c r="I90" s="26"/>
      <c r="J90" s="26"/>
      <c r="K90" s="4"/>
      <c r="L90" s="4"/>
      <c r="M90" s="4"/>
      <c r="N90" s="4"/>
      <c r="O90" s="4"/>
      <c r="P90" s="4"/>
      <c r="Q90" s="4"/>
      <c r="R90" s="4"/>
      <c r="S90" s="4"/>
      <c r="T90" s="4"/>
      <c r="U90" s="4"/>
      <c r="V90" s="4"/>
      <c r="W90" s="4"/>
      <c r="X90" s="4"/>
    </row>
    <row r="91" spans="2:24" ht="25.15" customHeight="1">
      <c r="B91" s="4"/>
      <c r="C91" s="4"/>
      <c r="D91" s="4"/>
      <c r="E91" s="4"/>
      <c r="F91" s="26"/>
      <c r="G91" s="26"/>
      <c r="H91" s="26"/>
      <c r="I91" s="26"/>
      <c r="J91" s="26"/>
      <c r="K91" s="4"/>
      <c r="L91" s="4"/>
      <c r="M91" s="4"/>
      <c r="N91" s="4"/>
      <c r="O91" s="4"/>
      <c r="P91" s="4"/>
      <c r="Q91" s="4"/>
      <c r="R91" s="4"/>
      <c r="S91" s="4"/>
      <c r="T91" s="4"/>
      <c r="U91" s="4"/>
      <c r="V91" s="4"/>
      <c r="W91" s="4"/>
      <c r="X91" s="4"/>
    </row>
    <row r="92" spans="2:24" ht="25.15" customHeight="1">
      <c r="B92" s="4"/>
      <c r="C92" s="4"/>
      <c r="D92" s="4"/>
      <c r="E92" s="4"/>
      <c r="F92" s="4"/>
      <c r="G92" s="4"/>
      <c r="H92" s="4"/>
      <c r="I92" s="4"/>
      <c r="J92" s="4"/>
      <c r="K92" s="4"/>
      <c r="L92" s="4"/>
      <c r="M92" s="4"/>
      <c r="N92" s="4"/>
      <c r="O92" s="4"/>
      <c r="P92" s="4"/>
      <c r="Q92" s="4"/>
      <c r="R92" s="4"/>
      <c r="S92" s="4"/>
      <c r="T92" s="4"/>
      <c r="U92" s="4"/>
      <c r="V92" s="4"/>
      <c r="W92" s="4"/>
      <c r="X92" s="4"/>
    </row>
    <row r="93" spans="2:24">
      <c r="B93" s="4"/>
      <c r="C93" s="4"/>
      <c r="D93" s="4"/>
      <c r="E93" s="4"/>
      <c r="F93" s="4"/>
      <c r="G93" s="4"/>
      <c r="H93" s="4"/>
      <c r="I93" s="4"/>
      <c r="J93" s="4"/>
      <c r="K93" s="4"/>
      <c r="L93" s="4"/>
      <c r="M93" s="4"/>
      <c r="N93" s="4"/>
      <c r="O93" s="4"/>
      <c r="P93" s="4"/>
      <c r="Q93" s="4"/>
      <c r="R93" s="4"/>
      <c r="S93" s="4"/>
      <c r="T93" s="4"/>
      <c r="U93" s="4"/>
      <c r="V93" s="4"/>
      <c r="W93" s="4"/>
      <c r="X93" s="4"/>
    </row>
    <row r="94" spans="2:24">
      <c r="B94" s="4"/>
      <c r="C94" s="4"/>
      <c r="D94" s="4"/>
      <c r="E94" s="4"/>
      <c r="F94" s="4"/>
      <c r="G94" s="4"/>
      <c r="H94" s="4"/>
      <c r="I94" s="4"/>
      <c r="J94" s="4"/>
      <c r="K94" s="4"/>
      <c r="L94" s="4"/>
      <c r="M94" s="4"/>
      <c r="N94" s="4"/>
      <c r="O94" s="4"/>
      <c r="P94" s="4"/>
      <c r="Q94" s="4"/>
      <c r="R94" s="4"/>
      <c r="S94" s="4"/>
      <c r="T94" s="4"/>
      <c r="U94" s="4"/>
      <c r="V94" s="4"/>
      <c r="W94" s="4"/>
      <c r="X94" s="4"/>
    </row>
    <row r="95" spans="2:24">
      <c r="B95" s="4"/>
      <c r="C95" s="4"/>
      <c r="D95" s="4"/>
      <c r="E95" s="4"/>
      <c r="F95" s="4"/>
      <c r="G95" s="4"/>
      <c r="H95" s="4"/>
      <c r="I95" s="4"/>
      <c r="J95" s="4"/>
      <c r="K95" s="4"/>
      <c r="L95" s="4"/>
      <c r="M95" s="4"/>
      <c r="N95" s="4"/>
      <c r="O95" s="4"/>
      <c r="P95" s="4"/>
      <c r="Q95" s="4"/>
      <c r="R95" s="4"/>
      <c r="S95" s="4"/>
      <c r="T95" s="4"/>
      <c r="U95" s="4"/>
      <c r="V95" s="4"/>
      <c r="W95" s="4"/>
      <c r="X95" s="4"/>
    </row>
    <row r="96" spans="2:24">
      <c r="B96" s="4"/>
      <c r="C96" s="4"/>
      <c r="D96" s="4"/>
      <c r="E96" s="4"/>
      <c r="F96" s="26"/>
      <c r="G96" s="26"/>
      <c r="H96" s="26"/>
      <c r="I96" s="26"/>
      <c r="J96" s="26"/>
      <c r="K96" s="4"/>
      <c r="L96" s="4"/>
      <c r="M96" s="4"/>
      <c r="N96" s="4"/>
      <c r="O96" s="4"/>
      <c r="P96" s="4"/>
      <c r="Q96" s="4"/>
      <c r="R96" s="4"/>
      <c r="S96" s="4"/>
      <c r="T96" s="4"/>
      <c r="U96" s="4"/>
      <c r="V96" s="4"/>
      <c r="W96" s="4"/>
      <c r="X96" s="4"/>
    </row>
    <row r="97" spans="2:24">
      <c r="B97" s="4"/>
      <c r="C97" s="4"/>
      <c r="D97" s="4"/>
      <c r="E97" s="4"/>
      <c r="F97" s="26"/>
      <c r="G97" s="26"/>
      <c r="H97" s="26"/>
      <c r="I97" s="26"/>
      <c r="J97" s="26"/>
      <c r="K97" s="4"/>
      <c r="L97" s="4"/>
      <c r="M97" s="4"/>
      <c r="N97" s="4"/>
      <c r="O97" s="4"/>
      <c r="P97" s="4"/>
      <c r="Q97" s="4"/>
      <c r="R97" s="4"/>
      <c r="S97" s="4"/>
      <c r="T97" s="4"/>
      <c r="U97" s="4"/>
      <c r="V97" s="4"/>
      <c r="W97" s="4"/>
      <c r="X97" s="4"/>
    </row>
    <row r="98" spans="2:24">
      <c r="B98" s="4"/>
      <c r="C98" s="4"/>
      <c r="D98" s="4"/>
      <c r="E98" s="4"/>
      <c r="F98" s="26"/>
      <c r="G98" s="26"/>
      <c r="H98" s="26"/>
      <c r="I98" s="26"/>
      <c r="J98" s="26"/>
      <c r="K98" s="4"/>
      <c r="L98" s="4"/>
      <c r="M98" s="4"/>
      <c r="N98" s="4"/>
      <c r="O98" s="4"/>
      <c r="P98" s="4"/>
      <c r="Q98" s="4"/>
      <c r="R98" s="4"/>
      <c r="S98" s="4"/>
      <c r="T98" s="4"/>
      <c r="U98" s="4"/>
      <c r="V98" s="4"/>
      <c r="W98" s="4"/>
      <c r="X98" s="4"/>
    </row>
    <row r="99" spans="2:24">
      <c r="B99" s="4"/>
      <c r="C99" s="4"/>
      <c r="D99" s="4"/>
      <c r="E99" s="4"/>
      <c r="F99" s="26"/>
      <c r="G99" s="26"/>
      <c r="H99" s="26"/>
      <c r="I99" s="26"/>
      <c r="J99" s="26"/>
      <c r="K99" s="4"/>
      <c r="L99" s="4"/>
      <c r="M99" s="4"/>
      <c r="N99" s="4"/>
      <c r="O99" s="4"/>
      <c r="P99" s="4"/>
      <c r="Q99" s="4"/>
      <c r="R99" s="4"/>
      <c r="S99" s="4"/>
      <c r="T99" s="4"/>
      <c r="U99" s="4"/>
      <c r="V99" s="4"/>
      <c r="W99" s="4"/>
      <c r="X99" s="4"/>
    </row>
    <row r="100" spans="2:24">
      <c r="B100" s="4"/>
      <c r="C100" s="4"/>
      <c r="D100" s="4"/>
      <c r="E100" s="4"/>
      <c r="F100" s="26"/>
      <c r="G100" s="26"/>
      <c r="H100" s="26"/>
      <c r="I100" s="26"/>
      <c r="J100" s="26"/>
      <c r="K100" s="4"/>
      <c r="L100" s="4"/>
      <c r="M100" s="4"/>
      <c r="N100" s="4"/>
      <c r="O100" s="4"/>
      <c r="P100" s="4"/>
      <c r="Q100" s="4"/>
      <c r="R100" s="4"/>
      <c r="S100" s="4"/>
      <c r="T100" s="4"/>
      <c r="U100" s="4"/>
      <c r="V100" s="4"/>
      <c r="W100" s="4"/>
      <c r="X100" s="4"/>
    </row>
    <row r="101" spans="2:24">
      <c r="B101" s="4"/>
      <c r="C101" s="4"/>
      <c r="D101" s="4"/>
      <c r="E101" s="4"/>
      <c r="F101" s="26"/>
      <c r="G101" s="26"/>
      <c r="H101" s="26"/>
      <c r="I101" s="26"/>
      <c r="J101" s="26"/>
      <c r="K101" s="4"/>
      <c r="L101" s="4"/>
      <c r="M101" s="4"/>
      <c r="N101" s="4"/>
      <c r="O101" s="4"/>
      <c r="P101" s="4"/>
      <c r="Q101" s="4"/>
      <c r="R101" s="4"/>
      <c r="S101" s="4"/>
      <c r="T101" s="4"/>
      <c r="U101" s="4"/>
      <c r="V101" s="4"/>
      <c r="W101" s="4"/>
      <c r="X101" s="4"/>
    </row>
    <row r="102" spans="2:24">
      <c r="B102" s="4"/>
      <c r="C102" s="4"/>
      <c r="D102" s="4"/>
      <c r="E102" s="4"/>
      <c r="F102" s="26"/>
      <c r="G102" s="26"/>
      <c r="H102" s="26"/>
      <c r="I102" s="26"/>
      <c r="J102" s="26"/>
      <c r="K102" s="4"/>
      <c r="L102" s="4"/>
      <c r="M102" s="4"/>
      <c r="N102" s="4"/>
      <c r="O102" s="4"/>
      <c r="P102" s="4"/>
      <c r="Q102" s="4"/>
      <c r="R102" s="4"/>
      <c r="S102" s="4"/>
      <c r="T102" s="4"/>
      <c r="U102" s="4"/>
      <c r="V102" s="4"/>
      <c r="W102" s="4"/>
      <c r="X102" s="4"/>
    </row>
    <row r="103" spans="2:24">
      <c r="B103" s="4"/>
      <c r="C103" s="4"/>
      <c r="D103" s="4"/>
      <c r="E103" s="4"/>
      <c r="F103" s="26"/>
      <c r="G103" s="26"/>
      <c r="H103" s="26"/>
      <c r="I103" s="26"/>
      <c r="J103" s="26"/>
      <c r="K103" s="4"/>
      <c r="L103" s="4"/>
      <c r="M103" s="4"/>
      <c r="N103" s="4"/>
      <c r="O103" s="4"/>
      <c r="P103" s="4"/>
      <c r="Q103" s="4"/>
      <c r="R103" s="4"/>
      <c r="S103" s="4"/>
      <c r="T103" s="4"/>
      <c r="U103" s="4"/>
      <c r="V103" s="4"/>
      <c r="W103" s="4"/>
      <c r="X103" s="4"/>
    </row>
    <row r="104" spans="2:24">
      <c r="B104" s="4"/>
      <c r="C104" s="4"/>
      <c r="D104" s="4"/>
      <c r="E104" s="4"/>
      <c r="F104" s="26"/>
      <c r="G104" s="26"/>
      <c r="H104" s="26"/>
      <c r="I104" s="26"/>
      <c r="J104" s="26"/>
      <c r="K104" s="4"/>
      <c r="L104" s="4"/>
      <c r="M104" s="4"/>
      <c r="N104" s="4"/>
      <c r="O104" s="4"/>
      <c r="P104" s="4"/>
      <c r="Q104" s="4"/>
      <c r="R104" s="4"/>
      <c r="S104" s="4"/>
      <c r="T104" s="4"/>
      <c r="U104" s="4"/>
      <c r="V104" s="4"/>
      <c r="W104" s="4"/>
      <c r="X104" s="4"/>
    </row>
    <row r="105" spans="2:24">
      <c r="B105" s="4"/>
      <c r="C105" s="4"/>
      <c r="D105" s="4"/>
      <c r="E105" s="4"/>
      <c r="F105" s="26"/>
      <c r="G105" s="26"/>
      <c r="H105" s="26"/>
      <c r="I105" s="26"/>
      <c r="J105" s="26"/>
      <c r="K105" s="4"/>
      <c r="L105" s="4"/>
      <c r="M105" s="4"/>
      <c r="N105" s="4"/>
      <c r="O105" s="4"/>
      <c r="P105" s="4"/>
      <c r="Q105" s="4"/>
      <c r="R105" s="4"/>
      <c r="S105" s="4"/>
      <c r="T105" s="4"/>
      <c r="U105" s="4"/>
      <c r="V105" s="4"/>
      <c r="W105" s="4"/>
      <c r="X105" s="4"/>
    </row>
    <row r="106" spans="2:24">
      <c r="B106" s="4"/>
      <c r="C106" s="4"/>
      <c r="D106" s="4"/>
      <c r="E106" s="4"/>
      <c r="F106" s="26"/>
      <c r="G106" s="26"/>
      <c r="H106" s="26"/>
      <c r="I106" s="26"/>
      <c r="J106" s="26"/>
      <c r="K106" s="4"/>
      <c r="L106" s="4"/>
      <c r="M106" s="4"/>
      <c r="N106" s="4"/>
      <c r="O106" s="4"/>
      <c r="P106" s="4"/>
      <c r="Q106" s="4"/>
      <c r="R106" s="4"/>
      <c r="S106" s="4"/>
      <c r="T106" s="4"/>
      <c r="U106" s="4"/>
      <c r="V106" s="4"/>
      <c r="W106" s="4"/>
      <c r="X106" s="4"/>
    </row>
    <row r="107" spans="2:24">
      <c r="B107" s="4"/>
      <c r="C107" s="4"/>
      <c r="D107" s="4"/>
      <c r="E107" s="4"/>
      <c r="F107" s="26"/>
      <c r="G107" s="26"/>
      <c r="H107" s="26"/>
      <c r="I107" s="26"/>
      <c r="J107" s="26"/>
      <c r="K107" s="4"/>
      <c r="L107" s="4"/>
      <c r="M107" s="4"/>
      <c r="N107" s="4"/>
      <c r="O107" s="4"/>
      <c r="P107" s="4"/>
      <c r="Q107" s="4"/>
      <c r="R107" s="4"/>
      <c r="S107" s="4"/>
      <c r="T107" s="4"/>
      <c r="U107" s="4"/>
      <c r="V107" s="4"/>
      <c r="W107" s="4"/>
      <c r="X107" s="4"/>
    </row>
    <row r="108" spans="2:24">
      <c r="B108" s="4"/>
      <c r="C108" s="4"/>
      <c r="D108" s="4"/>
      <c r="E108" s="4"/>
      <c r="F108" s="26"/>
      <c r="G108" s="26"/>
      <c r="H108" s="26"/>
      <c r="I108" s="26"/>
      <c r="J108" s="26"/>
      <c r="K108" s="4"/>
      <c r="L108" s="4"/>
      <c r="M108" s="4"/>
      <c r="N108" s="4"/>
      <c r="O108" s="4"/>
      <c r="P108" s="4"/>
      <c r="Q108" s="4"/>
      <c r="R108" s="4"/>
      <c r="S108" s="4"/>
      <c r="T108" s="4"/>
      <c r="U108" s="4"/>
      <c r="V108" s="4"/>
      <c r="W108" s="4"/>
      <c r="X108" s="4"/>
    </row>
    <row r="109" spans="2:24">
      <c r="B109" s="4"/>
      <c r="C109" s="4"/>
      <c r="D109" s="4"/>
      <c r="E109" s="4"/>
      <c r="F109" s="26"/>
      <c r="G109" s="26"/>
      <c r="H109" s="26"/>
      <c r="I109" s="26"/>
      <c r="J109" s="26"/>
      <c r="K109" s="4"/>
      <c r="L109" s="4"/>
      <c r="M109" s="4"/>
      <c r="N109" s="4"/>
      <c r="O109" s="4"/>
      <c r="P109" s="4"/>
      <c r="Q109" s="4"/>
      <c r="R109" s="4"/>
      <c r="S109" s="4"/>
      <c r="T109" s="4"/>
      <c r="U109" s="4"/>
      <c r="V109" s="4"/>
      <c r="W109" s="4"/>
      <c r="X109" s="4"/>
    </row>
    <row r="110" spans="2:24">
      <c r="B110" s="4"/>
      <c r="C110" s="4"/>
      <c r="D110" s="4"/>
      <c r="E110" s="4"/>
      <c r="F110" s="26"/>
      <c r="G110" s="26"/>
      <c r="H110" s="26"/>
      <c r="I110" s="26"/>
      <c r="J110" s="26"/>
      <c r="K110" s="4"/>
      <c r="L110" s="4"/>
      <c r="M110" s="4"/>
      <c r="N110" s="4"/>
      <c r="O110" s="4"/>
      <c r="P110" s="4"/>
      <c r="Q110" s="4"/>
      <c r="R110" s="4"/>
      <c r="S110" s="4"/>
      <c r="T110" s="4"/>
      <c r="U110" s="4"/>
      <c r="V110" s="4"/>
      <c r="W110" s="4"/>
      <c r="X110" s="4"/>
    </row>
    <row r="111" spans="2:24">
      <c r="B111" s="4"/>
      <c r="C111" s="4"/>
      <c r="D111" s="4"/>
      <c r="E111" s="4"/>
      <c r="F111" s="26"/>
      <c r="G111" s="26"/>
      <c r="H111" s="26"/>
      <c r="I111" s="26"/>
      <c r="J111" s="26"/>
      <c r="K111" s="4"/>
      <c r="L111" s="4"/>
      <c r="M111" s="4"/>
      <c r="N111" s="4"/>
      <c r="O111" s="4"/>
      <c r="P111" s="4"/>
      <c r="Q111" s="4"/>
      <c r="R111" s="4"/>
      <c r="S111" s="4"/>
      <c r="T111" s="4"/>
      <c r="U111" s="4"/>
      <c r="V111" s="4"/>
      <c r="W111" s="4"/>
      <c r="X111" s="4"/>
    </row>
    <row r="112" spans="2:24">
      <c r="B112" s="4"/>
      <c r="C112" s="4"/>
      <c r="D112" s="4"/>
      <c r="E112" s="4"/>
      <c r="F112" s="26"/>
      <c r="G112" s="26"/>
      <c r="H112" s="26"/>
      <c r="I112" s="26"/>
      <c r="J112" s="26"/>
      <c r="K112" s="4"/>
      <c r="L112" s="4"/>
      <c r="M112" s="4"/>
      <c r="N112" s="4"/>
      <c r="O112" s="4"/>
      <c r="P112" s="4"/>
      <c r="Q112" s="4"/>
      <c r="R112" s="4"/>
      <c r="S112" s="4"/>
      <c r="T112" s="4"/>
      <c r="U112" s="4"/>
      <c r="V112" s="4"/>
      <c r="W112" s="4"/>
      <c r="X112" s="4"/>
    </row>
    <row r="113" spans="2:24">
      <c r="B113" s="4"/>
      <c r="C113" s="4"/>
      <c r="D113" s="4"/>
      <c r="E113" s="4"/>
      <c r="F113" s="26"/>
      <c r="G113" s="26"/>
      <c r="H113" s="26"/>
      <c r="I113" s="26"/>
      <c r="J113" s="26"/>
      <c r="K113" s="4"/>
      <c r="L113" s="4"/>
      <c r="M113" s="4"/>
      <c r="N113" s="4"/>
      <c r="O113" s="4"/>
      <c r="P113" s="4"/>
      <c r="Q113" s="4"/>
      <c r="R113" s="4"/>
      <c r="S113" s="4"/>
      <c r="T113" s="4"/>
      <c r="U113" s="4"/>
      <c r="V113" s="4"/>
      <c r="W113" s="4"/>
      <c r="X113" s="4"/>
    </row>
    <row r="114" spans="2:24">
      <c r="B114" s="4"/>
      <c r="C114" s="4"/>
      <c r="D114" s="4"/>
      <c r="E114" s="4"/>
      <c r="F114" s="26"/>
      <c r="G114" s="26"/>
      <c r="H114" s="26"/>
      <c r="I114" s="26"/>
      <c r="J114" s="26"/>
      <c r="K114" s="4"/>
      <c r="L114" s="4"/>
      <c r="M114" s="4"/>
      <c r="N114" s="4"/>
      <c r="O114" s="4"/>
      <c r="P114" s="4"/>
      <c r="Q114" s="4"/>
      <c r="R114" s="4"/>
      <c r="S114" s="4"/>
      <c r="T114" s="4"/>
      <c r="U114" s="4"/>
      <c r="V114" s="4"/>
      <c r="W114" s="4"/>
      <c r="X114" s="4"/>
    </row>
    <row r="115" spans="2:24">
      <c r="B115" s="4"/>
      <c r="C115" s="4"/>
      <c r="D115" s="4"/>
      <c r="E115" s="4"/>
      <c r="F115" s="26"/>
      <c r="G115" s="26"/>
      <c r="H115" s="26"/>
      <c r="I115" s="26"/>
      <c r="J115" s="26"/>
      <c r="K115" s="4"/>
      <c r="L115" s="4"/>
      <c r="M115" s="4"/>
      <c r="N115" s="4"/>
      <c r="O115" s="4"/>
      <c r="P115" s="4"/>
      <c r="Q115" s="4"/>
      <c r="R115" s="4"/>
      <c r="S115" s="4"/>
      <c r="T115" s="4"/>
      <c r="U115" s="4"/>
      <c r="V115" s="4"/>
      <c r="W115" s="4"/>
      <c r="X115" s="4"/>
    </row>
    <row r="116" spans="2:24">
      <c r="B116" s="4"/>
      <c r="C116" s="4"/>
      <c r="D116" s="4"/>
      <c r="E116" s="4"/>
      <c r="F116" s="26"/>
      <c r="G116" s="26"/>
      <c r="H116" s="26"/>
      <c r="I116" s="26"/>
      <c r="J116" s="26"/>
      <c r="K116" s="4"/>
      <c r="L116" s="4"/>
      <c r="M116" s="4"/>
      <c r="N116" s="4"/>
      <c r="O116" s="4"/>
      <c r="P116" s="4"/>
      <c r="Q116" s="4"/>
      <c r="R116" s="4"/>
      <c r="S116" s="4"/>
      <c r="T116" s="4"/>
      <c r="U116" s="4"/>
      <c r="V116" s="4"/>
      <c r="W116" s="4"/>
      <c r="X116" s="4"/>
    </row>
    <row r="117" spans="2:24">
      <c r="B117" s="4"/>
      <c r="C117" s="4"/>
      <c r="D117" s="4"/>
      <c r="E117" s="4"/>
      <c r="F117" s="26"/>
      <c r="G117" s="26"/>
      <c r="H117" s="26"/>
      <c r="I117" s="26"/>
      <c r="J117" s="26"/>
      <c r="K117" s="4"/>
      <c r="L117" s="4"/>
      <c r="M117" s="4"/>
      <c r="N117" s="4"/>
      <c r="O117" s="4"/>
      <c r="P117" s="4"/>
      <c r="Q117" s="4"/>
      <c r="R117" s="4"/>
      <c r="S117" s="4"/>
      <c r="T117" s="4"/>
      <c r="U117" s="4"/>
      <c r="V117" s="4"/>
      <c r="W117" s="4"/>
      <c r="X117" s="4"/>
    </row>
    <row r="118" spans="2:24">
      <c r="B118" s="4"/>
      <c r="C118" s="4"/>
      <c r="D118" s="4"/>
      <c r="E118" s="4"/>
      <c r="F118" s="26"/>
      <c r="G118" s="26"/>
      <c r="H118" s="26"/>
      <c r="I118" s="26"/>
      <c r="J118" s="26"/>
      <c r="K118" s="4"/>
      <c r="L118" s="4"/>
      <c r="M118" s="4"/>
      <c r="N118" s="4"/>
      <c r="O118" s="4"/>
      <c r="P118" s="4"/>
      <c r="Q118" s="4"/>
      <c r="R118" s="4"/>
      <c r="S118" s="4"/>
      <c r="T118" s="4"/>
      <c r="U118" s="4"/>
      <c r="V118" s="4"/>
      <c r="W118" s="4"/>
      <c r="X118" s="4"/>
    </row>
    <row r="119" spans="2:24">
      <c r="B119" s="4"/>
      <c r="C119" s="4"/>
      <c r="D119" s="4"/>
      <c r="E119" s="4"/>
      <c r="F119" s="26"/>
      <c r="G119" s="26"/>
      <c r="H119" s="26"/>
      <c r="I119" s="26"/>
      <c r="J119" s="26"/>
      <c r="K119" s="4"/>
      <c r="L119" s="4"/>
      <c r="M119" s="4"/>
      <c r="N119" s="4"/>
      <c r="O119" s="4"/>
      <c r="P119" s="4"/>
      <c r="Q119" s="4"/>
      <c r="R119" s="4"/>
      <c r="S119" s="4"/>
      <c r="T119" s="4"/>
      <c r="U119" s="4"/>
      <c r="V119" s="4"/>
      <c r="W119" s="4"/>
      <c r="X119" s="4"/>
    </row>
    <row r="120" spans="2:24">
      <c r="B120" s="4"/>
      <c r="C120" s="4"/>
      <c r="D120" s="4"/>
      <c r="E120" s="4"/>
      <c r="F120" s="26"/>
      <c r="G120" s="26"/>
      <c r="H120" s="26"/>
      <c r="I120" s="26"/>
      <c r="J120" s="26"/>
      <c r="K120" s="4"/>
      <c r="L120" s="4"/>
      <c r="M120" s="4"/>
      <c r="N120" s="4"/>
      <c r="O120" s="4"/>
      <c r="P120" s="4"/>
      <c r="Q120" s="4"/>
      <c r="R120" s="4"/>
      <c r="S120" s="4"/>
      <c r="T120" s="4"/>
      <c r="U120" s="4"/>
      <c r="V120" s="4"/>
      <c r="W120" s="4"/>
      <c r="X120" s="4"/>
    </row>
    <row r="121" spans="2:24">
      <c r="B121" s="4"/>
      <c r="C121" s="4"/>
      <c r="D121" s="4"/>
      <c r="E121" s="4"/>
      <c r="F121" s="26"/>
      <c r="G121" s="26"/>
      <c r="H121" s="26"/>
      <c r="I121" s="26"/>
      <c r="J121" s="26"/>
      <c r="K121" s="4"/>
      <c r="L121" s="4"/>
      <c r="M121" s="4"/>
      <c r="N121" s="4"/>
      <c r="O121" s="4"/>
      <c r="P121" s="4"/>
      <c r="Q121" s="4"/>
      <c r="R121" s="4"/>
      <c r="S121" s="4"/>
      <c r="T121" s="4"/>
      <c r="U121" s="4"/>
      <c r="V121" s="4"/>
      <c r="W121" s="4"/>
      <c r="X121" s="4"/>
    </row>
    <row r="122" spans="2:24">
      <c r="B122" s="4"/>
      <c r="C122" s="4"/>
      <c r="D122" s="4"/>
      <c r="E122" s="4"/>
      <c r="F122" s="26"/>
      <c r="G122" s="26"/>
      <c r="H122" s="26"/>
      <c r="I122" s="26"/>
      <c r="J122" s="26"/>
      <c r="K122" s="4"/>
      <c r="L122" s="4"/>
      <c r="M122" s="4"/>
      <c r="N122" s="4"/>
      <c r="O122" s="4"/>
      <c r="P122" s="4"/>
      <c r="Q122" s="4"/>
      <c r="R122" s="4"/>
      <c r="S122" s="4"/>
      <c r="T122" s="4"/>
      <c r="U122" s="4"/>
      <c r="V122" s="4"/>
      <c r="W122" s="4"/>
      <c r="X122" s="4"/>
    </row>
    <row r="123" spans="2:24">
      <c r="B123" s="4"/>
      <c r="C123" s="4"/>
      <c r="D123" s="4"/>
      <c r="E123" s="4"/>
      <c r="F123" s="26"/>
      <c r="G123" s="26"/>
      <c r="H123" s="26"/>
      <c r="I123" s="26"/>
      <c r="J123" s="26"/>
      <c r="K123" s="4"/>
      <c r="L123" s="4"/>
      <c r="M123" s="4"/>
      <c r="N123" s="4"/>
      <c r="O123" s="4"/>
      <c r="P123" s="4"/>
      <c r="Q123" s="4"/>
      <c r="R123" s="4"/>
      <c r="S123" s="4"/>
      <c r="T123" s="4"/>
      <c r="U123" s="4"/>
      <c r="V123" s="4"/>
      <c r="W123" s="4"/>
      <c r="X123" s="4"/>
    </row>
    <row r="124" spans="2:24">
      <c r="B124" s="4"/>
      <c r="C124" s="4"/>
      <c r="D124" s="4"/>
      <c r="E124" s="4"/>
      <c r="F124" s="26"/>
      <c r="G124" s="26"/>
      <c r="H124" s="26"/>
      <c r="I124" s="26"/>
      <c r="J124" s="26"/>
      <c r="K124" s="4"/>
      <c r="L124" s="4"/>
      <c r="M124" s="4"/>
      <c r="N124" s="4"/>
      <c r="O124" s="4"/>
      <c r="P124" s="4"/>
      <c r="Q124" s="4"/>
      <c r="R124" s="4"/>
      <c r="S124" s="4"/>
      <c r="T124" s="4"/>
      <c r="U124" s="4"/>
      <c r="V124" s="4"/>
      <c r="W124" s="4"/>
      <c r="X124" s="4"/>
    </row>
    <row r="125" spans="2:24">
      <c r="B125" s="4"/>
      <c r="C125" s="4"/>
      <c r="D125" s="4"/>
      <c r="E125" s="4"/>
      <c r="F125" s="26"/>
      <c r="G125" s="26"/>
      <c r="H125" s="26"/>
      <c r="I125" s="26"/>
      <c r="J125" s="26"/>
      <c r="K125" s="4"/>
      <c r="L125" s="4"/>
      <c r="M125" s="4"/>
      <c r="N125" s="4"/>
      <c r="O125" s="4"/>
      <c r="P125" s="4"/>
      <c r="Q125" s="4"/>
      <c r="R125" s="4"/>
      <c r="S125" s="4"/>
      <c r="T125" s="4"/>
      <c r="U125" s="4"/>
      <c r="V125" s="4"/>
      <c r="W125" s="4"/>
      <c r="X125" s="4"/>
    </row>
    <row r="126" spans="2:24">
      <c r="B126" s="4"/>
      <c r="C126" s="4"/>
      <c r="D126" s="4"/>
      <c r="E126" s="4"/>
      <c r="F126" s="26"/>
      <c r="G126" s="26"/>
      <c r="H126" s="26"/>
      <c r="I126" s="26"/>
      <c r="J126" s="26"/>
      <c r="K126" s="4"/>
      <c r="L126" s="4"/>
      <c r="M126" s="4"/>
      <c r="N126" s="4"/>
      <c r="O126" s="4"/>
      <c r="P126" s="4"/>
      <c r="Q126" s="4"/>
      <c r="R126" s="4"/>
      <c r="S126" s="4"/>
      <c r="T126" s="4"/>
      <c r="U126" s="4"/>
      <c r="V126" s="4"/>
      <c r="W126" s="4"/>
      <c r="X126" s="4"/>
    </row>
    <row r="127" spans="2:24">
      <c r="B127" s="4"/>
      <c r="C127" s="4"/>
      <c r="D127" s="4"/>
      <c r="E127" s="4"/>
      <c r="F127" s="26"/>
      <c r="G127" s="26"/>
      <c r="H127" s="26"/>
      <c r="I127" s="26"/>
      <c r="J127" s="26"/>
      <c r="K127" s="4"/>
      <c r="L127" s="4"/>
      <c r="M127" s="4"/>
      <c r="N127" s="4"/>
      <c r="O127" s="4"/>
      <c r="P127" s="4"/>
      <c r="Q127" s="4"/>
      <c r="R127" s="4"/>
      <c r="S127" s="4"/>
      <c r="T127" s="4"/>
      <c r="U127" s="4"/>
      <c r="V127" s="4"/>
      <c r="W127" s="4"/>
      <c r="X127" s="4"/>
    </row>
    <row r="128" spans="2:24">
      <c r="B128" s="4"/>
      <c r="C128" s="4"/>
      <c r="D128" s="4"/>
      <c r="E128" s="4"/>
      <c r="F128" s="26"/>
      <c r="G128" s="26"/>
      <c r="H128" s="26"/>
      <c r="I128" s="26"/>
      <c r="J128" s="26"/>
      <c r="K128" s="4"/>
      <c r="L128" s="4"/>
      <c r="M128" s="4"/>
      <c r="N128" s="4"/>
      <c r="O128" s="4"/>
      <c r="P128" s="4"/>
      <c r="Q128" s="4"/>
      <c r="R128" s="4"/>
      <c r="S128" s="4"/>
      <c r="T128" s="4"/>
      <c r="U128" s="4"/>
      <c r="V128" s="4"/>
      <c r="W128" s="4"/>
      <c r="X128" s="4"/>
    </row>
    <row r="129" spans="2:24">
      <c r="B129" s="4"/>
      <c r="C129" s="4"/>
      <c r="D129" s="4"/>
      <c r="E129" s="4"/>
      <c r="F129" s="26"/>
      <c r="G129" s="26"/>
      <c r="H129" s="26"/>
      <c r="I129" s="26"/>
      <c r="J129" s="26"/>
      <c r="K129" s="4"/>
      <c r="L129" s="4"/>
      <c r="M129" s="4"/>
      <c r="N129" s="4"/>
      <c r="O129" s="4"/>
      <c r="P129" s="4"/>
      <c r="Q129" s="4"/>
      <c r="R129" s="4"/>
      <c r="S129" s="4"/>
      <c r="T129" s="4"/>
      <c r="U129" s="4"/>
      <c r="V129" s="4"/>
      <c r="W129" s="4"/>
      <c r="X129" s="4"/>
    </row>
    <row r="130" spans="2:24">
      <c r="B130" s="4"/>
      <c r="C130" s="4"/>
      <c r="D130" s="4"/>
      <c r="E130" s="4"/>
      <c r="F130" s="26"/>
      <c r="G130" s="26"/>
      <c r="H130" s="26"/>
      <c r="I130" s="26"/>
      <c r="J130" s="26"/>
      <c r="K130" s="4"/>
      <c r="L130" s="4"/>
      <c r="M130" s="4"/>
      <c r="N130" s="4"/>
      <c r="O130" s="4"/>
      <c r="P130" s="4"/>
      <c r="Q130" s="4"/>
      <c r="R130" s="4"/>
      <c r="S130" s="4"/>
      <c r="T130" s="4"/>
      <c r="U130" s="4"/>
      <c r="V130" s="4"/>
      <c r="W130" s="4"/>
      <c r="X130" s="4"/>
    </row>
    <row r="131" spans="2:24">
      <c r="B131" s="4"/>
      <c r="C131" s="4"/>
      <c r="D131" s="4"/>
      <c r="E131" s="4"/>
      <c r="F131" s="26"/>
      <c r="G131" s="26"/>
      <c r="H131" s="26"/>
      <c r="I131" s="26"/>
      <c r="J131" s="26"/>
      <c r="K131" s="4"/>
      <c r="L131" s="4"/>
      <c r="M131" s="4"/>
      <c r="N131" s="4"/>
      <c r="O131" s="4"/>
      <c r="P131" s="4"/>
      <c r="Q131" s="4"/>
      <c r="R131" s="4"/>
      <c r="S131" s="4"/>
      <c r="T131" s="4"/>
      <c r="U131" s="4"/>
      <c r="V131" s="4"/>
      <c r="W131" s="4"/>
      <c r="X131" s="4"/>
    </row>
    <row r="132" spans="2:24">
      <c r="B132" s="4"/>
      <c r="C132" s="4"/>
      <c r="D132" s="4"/>
      <c r="E132" s="4"/>
      <c r="F132" s="26"/>
      <c r="G132" s="26"/>
      <c r="H132" s="26"/>
      <c r="I132" s="26"/>
      <c r="J132" s="26"/>
      <c r="K132" s="4"/>
      <c r="L132" s="4"/>
      <c r="M132" s="4"/>
      <c r="N132" s="4"/>
      <c r="O132" s="4"/>
      <c r="P132" s="4"/>
      <c r="Q132" s="4"/>
      <c r="R132" s="4"/>
      <c r="S132" s="4"/>
      <c r="T132" s="4"/>
      <c r="U132" s="4"/>
      <c r="V132" s="4"/>
      <c r="W132" s="4"/>
      <c r="X132" s="4"/>
    </row>
    <row r="133" spans="2:24">
      <c r="B133" s="4"/>
      <c r="C133" s="4"/>
      <c r="D133" s="4"/>
      <c r="E133" s="4"/>
      <c r="F133" s="26"/>
      <c r="G133" s="26"/>
      <c r="H133" s="26"/>
      <c r="I133" s="26"/>
      <c r="J133" s="26"/>
      <c r="K133" s="4"/>
      <c r="L133" s="4"/>
      <c r="M133" s="4"/>
      <c r="N133" s="4"/>
      <c r="O133" s="4"/>
      <c r="P133" s="4"/>
      <c r="Q133" s="4"/>
      <c r="R133" s="4"/>
      <c r="S133" s="4"/>
      <c r="T133" s="4"/>
      <c r="U133" s="4"/>
      <c r="V133" s="4"/>
      <c r="W133" s="4"/>
      <c r="X133" s="4"/>
    </row>
    <row r="134" spans="2:24">
      <c r="B134" s="4"/>
      <c r="C134" s="4"/>
      <c r="D134" s="4"/>
      <c r="E134" s="4"/>
      <c r="F134" s="26"/>
      <c r="G134" s="26"/>
      <c r="H134" s="26"/>
      <c r="I134" s="26"/>
      <c r="J134" s="26"/>
      <c r="K134" s="4"/>
      <c r="L134" s="4"/>
      <c r="M134" s="4"/>
      <c r="N134" s="4"/>
      <c r="O134" s="4"/>
      <c r="P134" s="4"/>
      <c r="Q134" s="4"/>
      <c r="R134" s="4"/>
      <c r="S134" s="4"/>
      <c r="T134" s="4"/>
      <c r="U134" s="4"/>
      <c r="V134" s="4"/>
      <c r="W134" s="4"/>
      <c r="X134" s="4"/>
    </row>
    <row r="135" spans="2:24">
      <c r="B135" s="4"/>
      <c r="C135" s="4"/>
      <c r="D135" s="4"/>
      <c r="E135" s="4"/>
      <c r="F135" s="26"/>
      <c r="G135" s="26"/>
      <c r="H135" s="26"/>
      <c r="I135" s="26"/>
      <c r="J135" s="26"/>
      <c r="K135" s="4"/>
      <c r="L135" s="4"/>
      <c r="M135" s="4"/>
      <c r="N135" s="4"/>
      <c r="O135" s="4"/>
      <c r="P135" s="4"/>
      <c r="Q135" s="4"/>
      <c r="R135" s="4"/>
      <c r="S135" s="4"/>
      <c r="T135" s="4"/>
      <c r="U135" s="4"/>
      <c r="V135" s="4"/>
      <c r="W135" s="4"/>
      <c r="X135" s="4"/>
    </row>
    <row r="136" spans="2:24">
      <c r="B136" s="4"/>
      <c r="C136" s="4"/>
      <c r="D136" s="4"/>
      <c r="E136" s="4"/>
      <c r="F136" s="26"/>
      <c r="G136" s="26"/>
      <c r="H136" s="26"/>
      <c r="I136" s="26"/>
      <c r="J136" s="26"/>
      <c r="K136" s="4"/>
      <c r="L136" s="4"/>
      <c r="M136" s="4"/>
      <c r="N136" s="4"/>
      <c r="O136" s="4"/>
      <c r="P136" s="4"/>
      <c r="Q136" s="4"/>
      <c r="R136" s="4"/>
      <c r="S136" s="4"/>
      <c r="T136" s="4"/>
      <c r="U136" s="4"/>
      <c r="V136" s="4"/>
      <c r="W136" s="4"/>
      <c r="X136" s="4"/>
    </row>
    <row r="137" spans="2:24">
      <c r="B137" s="4"/>
      <c r="C137" s="4"/>
      <c r="D137" s="4"/>
      <c r="E137" s="4"/>
      <c r="F137" s="26"/>
      <c r="G137" s="26"/>
      <c r="H137" s="26"/>
      <c r="I137" s="26"/>
      <c r="J137" s="26"/>
      <c r="K137" s="4"/>
      <c r="L137" s="4"/>
      <c r="M137" s="4"/>
      <c r="N137" s="4"/>
      <c r="O137" s="4"/>
      <c r="P137" s="4"/>
      <c r="Q137" s="4"/>
      <c r="R137" s="4"/>
      <c r="S137" s="4"/>
      <c r="T137" s="4"/>
      <c r="U137" s="4"/>
      <c r="V137" s="4"/>
      <c r="W137" s="4"/>
      <c r="X137" s="4"/>
    </row>
    <row r="138" spans="2:24">
      <c r="B138" s="4"/>
      <c r="C138" s="4"/>
      <c r="D138" s="4"/>
      <c r="E138" s="4"/>
      <c r="F138" s="26"/>
      <c r="G138" s="26"/>
      <c r="H138" s="26"/>
      <c r="I138" s="26"/>
      <c r="J138" s="26"/>
      <c r="K138" s="4"/>
      <c r="L138" s="4"/>
      <c r="M138" s="4"/>
      <c r="N138" s="4"/>
      <c r="O138" s="4"/>
      <c r="P138" s="4"/>
      <c r="Q138" s="4"/>
      <c r="R138" s="4"/>
      <c r="S138" s="4"/>
      <c r="T138" s="4"/>
      <c r="U138" s="4"/>
      <c r="V138" s="4"/>
      <c r="W138" s="4"/>
      <c r="X138" s="4"/>
    </row>
    <row r="139" spans="2:24">
      <c r="B139" s="4"/>
      <c r="C139" s="4"/>
      <c r="D139" s="4"/>
      <c r="E139" s="4"/>
      <c r="F139" s="26"/>
      <c r="G139" s="26"/>
      <c r="H139" s="26"/>
      <c r="I139" s="26"/>
      <c r="J139" s="26"/>
      <c r="K139" s="4"/>
      <c r="L139" s="4"/>
      <c r="M139" s="4"/>
      <c r="N139" s="4"/>
      <c r="O139" s="4"/>
      <c r="P139" s="4"/>
      <c r="Q139" s="4"/>
      <c r="R139" s="4"/>
      <c r="S139" s="4"/>
      <c r="T139" s="4"/>
      <c r="U139" s="4"/>
      <c r="V139" s="4"/>
      <c r="W139" s="4"/>
      <c r="X139" s="4"/>
    </row>
    <row r="140" spans="2:24">
      <c r="B140" s="4"/>
      <c r="C140" s="4"/>
      <c r="D140" s="4"/>
      <c r="E140" s="4"/>
      <c r="F140" s="26"/>
      <c r="G140" s="26"/>
      <c r="H140" s="26"/>
      <c r="I140" s="26"/>
      <c r="J140" s="26"/>
      <c r="K140" s="4"/>
      <c r="L140" s="4"/>
      <c r="M140" s="4"/>
      <c r="N140" s="4"/>
      <c r="O140" s="4"/>
      <c r="P140" s="4"/>
      <c r="Q140" s="4"/>
      <c r="R140" s="4"/>
      <c r="S140" s="4"/>
      <c r="T140" s="4"/>
      <c r="U140" s="4"/>
      <c r="V140" s="4"/>
      <c r="W140" s="4"/>
      <c r="X140" s="4"/>
    </row>
    <row r="141" spans="2:24">
      <c r="B141" s="4"/>
      <c r="C141" s="4"/>
      <c r="D141" s="4"/>
      <c r="E141" s="4"/>
      <c r="F141" s="26"/>
      <c r="G141" s="26"/>
      <c r="H141" s="26"/>
      <c r="I141" s="26"/>
      <c r="J141" s="26"/>
      <c r="K141" s="4"/>
      <c r="L141" s="4"/>
      <c r="M141" s="4"/>
      <c r="N141" s="4"/>
      <c r="O141" s="4"/>
      <c r="P141" s="4"/>
      <c r="Q141" s="4"/>
      <c r="R141" s="4"/>
      <c r="S141" s="4"/>
      <c r="T141" s="4"/>
      <c r="U141" s="4"/>
      <c r="V141" s="4"/>
      <c r="W141" s="4"/>
      <c r="X141" s="4"/>
    </row>
    <row r="142" spans="2:24">
      <c r="B142" s="4"/>
      <c r="C142" s="4"/>
      <c r="D142" s="4"/>
      <c r="E142" s="4"/>
      <c r="F142" s="26"/>
      <c r="G142" s="26"/>
      <c r="H142" s="26"/>
      <c r="I142" s="26"/>
      <c r="J142" s="26"/>
      <c r="K142" s="4"/>
      <c r="L142" s="4"/>
      <c r="M142" s="4"/>
      <c r="N142" s="4"/>
      <c r="O142" s="4"/>
      <c r="P142" s="4"/>
      <c r="Q142" s="4"/>
      <c r="R142" s="4"/>
      <c r="S142" s="4"/>
      <c r="T142" s="4"/>
      <c r="U142" s="4"/>
      <c r="V142" s="4"/>
      <c r="W142" s="4"/>
      <c r="X142" s="4"/>
    </row>
    <row r="143" spans="2:24">
      <c r="B143" s="4"/>
      <c r="C143" s="4"/>
      <c r="D143" s="4"/>
      <c r="E143" s="4"/>
      <c r="F143" s="26"/>
      <c r="G143" s="26"/>
      <c r="H143" s="26"/>
      <c r="I143" s="26"/>
      <c r="J143" s="26"/>
      <c r="K143" s="4"/>
      <c r="L143" s="4"/>
      <c r="M143" s="4"/>
      <c r="N143" s="4"/>
      <c r="O143" s="4"/>
      <c r="P143" s="4"/>
      <c r="Q143" s="4"/>
      <c r="R143" s="4"/>
      <c r="S143" s="4"/>
      <c r="T143" s="4"/>
      <c r="U143" s="4"/>
      <c r="V143" s="4"/>
      <c r="W143" s="4"/>
      <c r="X143" s="4"/>
    </row>
    <row r="144" spans="2:24">
      <c r="B144" s="4"/>
      <c r="C144" s="4"/>
      <c r="D144" s="4"/>
      <c r="E144" s="4"/>
      <c r="F144" s="26"/>
      <c r="G144" s="26"/>
      <c r="H144" s="26"/>
      <c r="I144" s="26"/>
      <c r="J144" s="26"/>
      <c r="K144" s="4"/>
      <c r="L144" s="4"/>
      <c r="M144" s="4"/>
      <c r="N144" s="4"/>
      <c r="O144" s="4"/>
      <c r="P144" s="4"/>
      <c r="Q144" s="4"/>
      <c r="R144" s="4"/>
      <c r="S144" s="4"/>
      <c r="T144" s="4"/>
      <c r="U144" s="4"/>
      <c r="V144" s="4"/>
      <c r="W144" s="4"/>
      <c r="X144" s="4"/>
    </row>
    <row r="145" spans="2:24">
      <c r="B145" s="4"/>
      <c r="C145" s="4"/>
      <c r="D145" s="4"/>
      <c r="E145" s="4"/>
      <c r="F145" s="26"/>
      <c r="G145" s="26"/>
      <c r="H145" s="26"/>
      <c r="I145" s="26"/>
      <c r="J145" s="26"/>
      <c r="K145" s="4"/>
      <c r="L145" s="4"/>
      <c r="M145" s="4"/>
      <c r="N145" s="4"/>
      <c r="O145" s="4"/>
      <c r="P145" s="4"/>
      <c r="Q145" s="4"/>
      <c r="R145" s="4"/>
      <c r="S145" s="4"/>
      <c r="T145" s="4"/>
      <c r="U145" s="4"/>
      <c r="V145" s="4"/>
      <c r="W145" s="4"/>
      <c r="X145" s="4"/>
    </row>
    <row r="146" spans="2:24">
      <c r="B146" s="4"/>
      <c r="C146" s="4"/>
      <c r="D146" s="4"/>
      <c r="E146" s="4"/>
      <c r="F146" s="26"/>
      <c r="G146" s="26"/>
      <c r="H146" s="26"/>
      <c r="I146" s="26"/>
      <c r="J146" s="26"/>
      <c r="K146" s="4"/>
      <c r="L146" s="4"/>
      <c r="M146" s="4"/>
      <c r="N146" s="4"/>
      <c r="O146" s="4"/>
      <c r="P146" s="4"/>
      <c r="Q146" s="4"/>
      <c r="R146" s="4"/>
      <c r="S146" s="4"/>
      <c r="T146" s="4"/>
      <c r="U146" s="4"/>
      <c r="V146" s="4"/>
      <c r="W146" s="4"/>
      <c r="X146" s="4"/>
    </row>
    <row r="147" spans="2:24">
      <c r="B147" s="4"/>
      <c r="C147" s="4"/>
      <c r="D147" s="4"/>
      <c r="E147" s="4"/>
      <c r="F147" s="26"/>
      <c r="G147" s="26"/>
      <c r="H147" s="26"/>
      <c r="I147" s="26"/>
      <c r="J147" s="26"/>
      <c r="K147" s="4"/>
      <c r="L147" s="4"/>
      <c r="M147" s="4"/>
      <c r="N147" s="4"/>
      <c r="O147" s="4"/>
      <c r="P147" s="4"/>
      <c r="Q147" s="4"/>
      <c r="R147" s="4"/>
      <c r="S147" s="4"/>
      <c r="T147" s="4"/>
      <c r="U147" s="4"/>
      <c r="V147" s="4"/>
      <c r="W147" s="4"/>
      <c r="X147" s="4"/>
    </row>
    <row r="148" spans="2:24">
      <c r="B148" s="4"/>
      <c r="C148" s="4"/>
      <c r="D148" s="4"/>
      <c r="E148" s="4"/>
      <c r="F148" s="26"/>
      <c r="G148" s="26"/>
      <c r="H148" s="26"/>
      <c r="I148" s="26"/>
      <c r="J148" s="26"/>
      <c r="K148" s="4"/>
      <c r="L148" s="4"/>
      <c r="M148" s="4"/>
      <c r="N148" s="4"/>
      <c r="O148" s="4"/>
      <c r="P148" s="4"/>
      <c r="Q148" s="4"/>
      <c r="R148" s="4"/>
      <c r="S148" s="4"/>
      <c r="T148" s="4"/>
      <c r="U148" s="4"/>
      <c r="V148" s="4"/>
      <c r="W148" s="4"/>
      <c r="X148" s="4"/>
    </row>
    <row r="149" spans="2:24">
      <c r="B149" s="4"/>
      <c r="C149" s="4"/>
      <c r="D149" s="4"/>
      <c r="E149" s="4"/>
      <c r="F149" s="26"/>
      <c r="G149" s="26"/>
      <c r="H149" s="26"/>
      <c r="I149" s="26"/>
      <c r="J149" s="26"/>
      <c r="K149" s="4"/>
      <c r="L149" s="4"/>
      <c r="M149" s="4"/>
      <c r="N149" s="4"/>
      <c r="O149" s="4"/>
      <c r="P149" s="4"/>
      <c r="Q149" s="4"/>
      <c r="R149" s="4"/>
      <c r="S149" s="4"/>
      <c r="T149" s="4"/>
      <c r="U149" s="4"/>
      <c r="V149" s="4"/>
      <c r="W149" s="4"/>
      <c r="X149" s="4"/>
    </row>
    <row r="150" spans="2:24">
      <c r="B150" s="4"/>
      <c r="C150" s="4"/>
      <c r="D150" s="4"/>
      <c r="E150" s="4"/>
      <c r="F150" s="26"/>
      <c r="G150" s="26"/>
      <c r="H150" s="26"/>
      <c r="I150" s="26"/>
      <c r="J150" s="26"/>
      <c r="K150" s="4"/>
      <c r="L150" s="4"/>
      <c r="M150" s="4"/>
      <c r="N150" s="4"/>
      <c r="O150" s="4"/>
      <c r="P150" s="4"/>
      <c r="Q150" s="4"/>
      <c r="R150" s="4"/>
      <c r="S150" s="4"/>
      <c r="T150" s="4"/>
      <c r="U150" s="4"/>
      <c r="V150" s="4"/>
      <c r="W150" s="4"/>
      <c r="X150" s="4"/>
    </row>
    <row r="151" spans="2:24">
      <c r="B151" s="4"/>
      <c r="C151" s="4"/>
      <c r="D151" s="4"/>
      <c r="E151" s="4"/>
      <c r="F151" s="26"/>
      <c r="G151" s="26"/>
      <c r="H151" s="26"/>
      <c r="I151" s="26"/>
      <c r="J151" s="26"/>
      <c r="K151" s="4"/>
      <c r="L151" s="4"/>
      <c r="M151" s="4"/>
      <c r="N151" s="4"/>
      <c r="O151" s="4"/>
      <c r="P151" s="4"/>
      <c r="Q151" s="4"/>
      <c r="R151" s="4"/>
      <c r="S151" s="4"/>
      <c r="T151" s="4"/>
      <c r="U151" s="4"/>
      <c r="V151" s="4"/>
      <c r="W151" s="4"/>
      <c r="X151" s="4"/>
    </row>
    <row r="152" spans="2:24">
      <c r="B152" s="4"/>
      <c r="C152" s="4"/>
      <c r="D152" s="4"/>
      <c r="E152" s="4"/>
      <c r="F152" s="26"/>
      <c r="G152" s="26"/>
      <c r="H152" s="26"/>
      <c r="I152" s="26"/>
      <c r="J152" s="26"/>
      <c r="K152" s="4"/>
      <c r="L152" s="4"/>
      <c r="M152" s="4"/>
      <c r="N152" s="4"/>
      <c r="O152" s="4"/>
      <c r="P152" s="4"/>
      <c r="Q152" s="4"/>
      <c r="R152" s="4"/>
      <c r="S152" s="4"/>
      <c r="T152" s="4"/>
      <c r="U152" s="4"/>
      <c r="V152" s="4"/>
      <c r="W152" s="4"/>
      <c r="X152" s="4"/>
    </row>
    <row r="153" spans="2:24">
      <c r="B153" s="4"/>
      <c r="C153" s="4"/>
      <c r="D153" s="4"/>
      <c r="E153" s="4"/>
      <c r="F153" s="26"/>
      <c r="G153" s="26"/>
      <c r="H153" s="26"/>
      <c r="I153" s="26"/>
      <c r="J153" s="26"/>
      <c r="K153" s="4"/>
      <c r="L153" s="4"/>
      <c r="M153" s="4"/>
      <c r="N153" s="4"/>
      <c r="O153" s="4"/>
      <c r="P153" s="4"/>
      <c r="Q153" s="4"/>
      <c r="R153" s="4"/>
      <c r="S153" s="4"/>
      <c r="T153" s="4"/>
      <c r="U153" s="4"/>
      <c r="V153" s="4"/>
      <c r="W153" s="4"/>
      <c r="X153" s="4"/>
    </row>
    <row r="154" spans="2:24">
      <c r="B154" s="4"/>
      <c r="C154" s="4"/>
      <c r="D154" s="4"/>
      <c r="E154" s="4"/>
      <c r="F154" s="26"/>
      <c r="G154" s="26"/>
      <c r="H154" s="26"/>
      <c r="I154" s="26"/>
      <c r="J154" s="26"/>
      <c r="K154" s="4"/>
      <c r="L154" s="4"/>
      <c r="M154" s="4"/>
      <c r="N154" s="4"/>
      <c r="O154" s="4"/>
      <c r="P154" s="4"/>
      <c r="Q154" s="4"/>
      <c r="R154" s="4"/>
      <c r="S154" s="4"/>
      <c r="T154" s="4"/>
      <c r="U154" s="4"/>
      <c r="V154" s="4"/>
      <c r="W154" s="4"/>
      <c r="X154" s="4"/>
    </row>
    <row r="155" spans="2:24">
      <c r="B155" s="4"/>
      <c r="C155" s="4"/>
      <c r="D155" s="4"/>
      <c r="E155" s="4"/>
      <c r="F155" s="26"/>
      <c r="G155" s="26"/>
      <c r="H155" s="26"/>
      <c r="I155" s="26"/>
      <c r="J155" s="26"/>
      <c r="K155" s="4"/>
      <c r="L155" s="4"/>
      <c r="M155" s="4"/>
      <c r="N155" s="4"/>
      <c r="O155" s="4"/>
      <c r="P155" s="4"/>
      <c r="Q155" s="4"/>
      <c r="R155" s="4"/>
      <c r="S155" s="4"/>
      <c r="T155" s="4"/>
      <c r="U155" s="4"/>
      <c r="V155" s="4"/>
      <c r="W155" s="4"/>
      <c r="X155" s="4"/>
    </row>
    <row r="156" spans="2:24">
      <c r="B156" s="4"/>
      <c r="C156" s="4"/>
      <c r="D156" s="4"/>
      <c r="E156" s="4"/>
      <c r="F156" s="26"/>
      <c r="G156" s="26"/>
      <c r="H156" s="26"/>
      <c r="I156" s="26"/>
      <c r="J156" s="26"/>
      <c r="K156" s="4"/>
      <c r="L156" s="4"/>
      <c r="M156" s="4"/>
      <c r="N156" s="4"/>
      <c r="O156" s="4"/>
      <c r="P156" s="4"/>
      <c r="Q156" s="4"/>
      <c r="R156" s="4"/>
      <c r="S156" s="4"/>
      <c r="T156" s="4"/>
      <c r="U156" s="4"/>
      <c r="V156" s="4"/>
      <c r="W156" s="4"/>
      <c r="X156" s="4"/>
    </row>
    <row r="157" spans="2:24">
      <c r="B157" s="4"/>
      <c r="C157" s="4"/>
      <c r="D157" s="4"/>
      <c r="E157" s="4"/>
      <c r="F157" s="26"/>
      <c r="G157" s="26"/>
      <c r="H157" s="26"/>
      <c r="I157" s="26"/>
      <c r="J157" s="26"/>
      <c r="K157" s="4"/>
      <c r="L157" s="4"/>
      <c r="M157" s="4"/>
      <c r="N157" s="4"/>
      <c r="O157" s="4"/>
      <c r="P157" s="4"/>
      <c r="Q157" s="4"/>
      <c r="R157" s="4"/>
      <c r="S157" s="4"/>
      <c r="T157" s="4"/>
      <c r="U157" s="4"/>
      <c r="V157" s="4"/>
      <c r="W157" s="4"/>
      <c r="X157" s="4"/>
    </row>
    <row r="158" spans="2:24">
      <c r="B158" s="4"/>
      <c r="C158" s="4"/>
      <c r="D158" s="4"/>
      <c r="E158" s="4"/>
      <c r="F158" s="26"/>
      <c r="G158" s="26"/>
      <c r="H158" s="26"/>
      <c r="I158" s="26"/>
      <c r="J158" s="26"/>
      <c r="K158" s="4"/>
      <c r="L158" s="4"/>
      <c r="M158" s="4"/>
      <c r="N158" s="4"/>
      <c r="O158" s="4"/>
      <c r="P158" s="4"/>
      <c r="Q158" s="4"/>
      <c r="R158" s="4"/>
      <c r="S158" s="4"/>
      <c r="T158" s="4"/>
      <c r="U158" s="4"/>
      <c r="V158" s="4"/>
      <c r="W158" s="4"/>
      <c r="X158" s="4"/>
    </row>
    <row r="159" spans="2:24">
      <c r="B159" s="4"/>
      <c r="C159" s="4"/>
      <c r="D159" s="4"/>
      <c r="E159" s="4"/>
      <c r="F159" s="26"/>
      <c r="G159" s="26"/>
      <c r="H159" s="26"/>
      <c r="I159" s="26"/>
      <c r="J159" s="26"/>
      <c r="K159" s="4"/>
      <c r="L159" s="4"/>
      <c r="M159" s="4"/>
      <c r="N159" s="4"/>
      <c r="O159" s="4"/>
      <c r="P159" s="4"/>
      <c r="Q159" s="4"/>
      <c r="R159" s="4"/>
      <c r="S159" s="4"/>
      <c r="T159" s="4"/>
      <c r="U159" s="4"/>
      <c r="V159" s="4"/>
      <c r="W159" s="4"/>
      <c r="X159" s="4"/>
    </row>
    <row r="160" spans="2:24">
      <c r="B160" s="4"/>
      <c r="C160" s="4"/>
      <c r="D160" s="4"/>
      <c r="E160" s="4"/>
      <c r="F160" s="26"/>
      <c r="G160" s="26"/>
      <c r="H160" s="26"/>
      <c r="I160" s="26"/>
      <c r="J160" s="26"/>
      <c r="K160" s="4"/>
      <c r="L160" s="4"/>
      <c r="M160" s="4"/>
      <c r="N160" s="4"/>
      <c r="O160" s="4"/>
      <c r="P160" s="4"/>
      <c r="Q160" s="4"/>
      <c r="R160" s="4"/>
      <c r="S160" s="4"/>
      <c r="T160" s="4"/>
      <c r="U160" s="4"/>
      <c r="V160" s="4"/>
      <c r="W160" s="4"/>
      <c r="X160" s="4"/>
    </row>
    <row r="161" spans="2:24">
      <c r="B161" s="4"/>
      <c r="C161" s="4"/>
      <c r="D161" s="4"/>
      <c r="E161" s="4"/>
      <c r="F161" s="26"/>
      <c r="G161" s="26"/>
      <c r="H161" s="26"/>
      <c r="I161" s="26"/>
      <c r="J161" s="26"/>
      <c r="K161" s="4"/>
      <c r="L161" s="4"/>
      <c r="M161" s="4"/>
      <c r="N161" s="4"/>
      <c r="O161" s="4"/>
      <c r="P161" s="4"/>
      <c r="Q161" s="4"/>
      <c r="R161" s="4"/>
      <c r="S161" s="4"/>
      <c r="T161" s="4"/>
      <c r="U161" s="4"/>
      <c r="V161" s="4"/>
      <c r="W161" s="4"/>
      <c r="X161" s="4"/>
    </row>
    <row r="162" spans="2:24">
      <c r="B162" s="4"/>
      <c r="C162" s="4"/>
      <c r="D162" s="4"/>
      <c r="E162" s="4"/>
      <c r="F162" s="26"/>
      <c r="G162" s="26"/>
      <c r="H162" s="26"/>
      <c r="I162" s="26"/>
      <c r="J162" s="26"/>
      <c r="K162" s="4"/>
      <c r="L162" s="4"/>
      <c r="M162" s="4"/>
      <c r="N162" s="4"/>
      <c r="O162" s="4"/>
      <c r="P162" s="4"/>
      <c r="Q162" s="4"/>
      <c r="R162" s="4"/>
      <c r="S162" s="4"/>
      <c r="T162" s="4"/>
      <c r="U162" s="4"/>
      <c r="V162" s="4"/>
      <c r="W162" s="4"/>
      <c r="X162" s="4"/>
    </row>
    <row r="163" spans="2:24">
      <c r="B163" s="4"/>
      <c r="C163" s="4"/>
      <c r="D163" s="4"/>
      <c r="E163" s="4"/>
      <c r="F163" s="26"/>
      <c r="G163" s="26"/>
      <c r="H163" s="26"/>
      <c r="I163" s="26"/>
      <c r="J163" s="26"/>
      <c r="K163" s="4"/>
      <c r="L163" s="4"/>
      <c r="M163" s="4"/>
      <c r="N163" s="4"/>
      <c r="O163" s="4"/>
      <c r="P163" s="4"/>
      <c r="Q163" s="4"/>
      <c r="R163" s="4"/>
      <c r="S163" s="4"/>
      <c r="T163" s="4"/>
      <c r="U163" s="4"/>
      <c r="V163" s="4"/>
      <c r="W163" s="4"/>
      <c r="X163" s="4"/>
    </row>
    <row r="164" spans="2:24">
      <c r="B164" s="4"/>
      <c r="C164" s="4"/>
      <c r="D164" s="4"/>
      <c r="E164" s="4"/>
      <c r="F164" s="26"/>
      <c r="G164" s="26"/>
      <c r="H164" s="26"/>
      <c r="I164" s="26"/>
      <c r="J164" s="26"/>
      <c r="K164" s="4"/>
      <c r="L164" s="4"/>
      <c r="M164" s="4"/>
      <c r="N164" s="4"/>
      <c r="O164" s="4"/>
      <c r="P164" s="4"/>
      <c r="Q164" s="4"/>
      <c r="R164" s="4"/>
      <c r="S164" s="4"/>
      <c r="T164" s="4"/>
      <c r="U164" s="4"/>
      <c r="V164" s="4"/>
      <c r="W164" s="4"/>
      <c r="X164" s="4"/>
    </row>
    <row r="165" spans="2:24">
      <c r="B165" s="4"/>
      <c r="C165" s="4"/>
      <c r="D165" s="4"/>
      <c r="E165" s="4"/>
      <c r="F165" s="26"/>
      <c r="G165" s="26"/>
      <c r="H165" s="26"/>
      <c r="I165" s="26"/>
      <c r="J165" s="26"/>
      <c r="K165" s="4"/>
      <c r="L165" s="4"/>
      <c r="M165" s="4"/>
      <c r="N165" s="4"/>
      <c r="O165" s="4"/>
      <c r="P165" s="4"/>
      <c r="Q165" s="4"/>
      <c r="R165" s="4"/>
      <c r="S165" s="4"/>
      <c r="T165" s="4"/>
      <c r="U165" s="4"/>
      <c r="V165" s="4"/>
      <c r="W165" s="4"/>
      <c r="X165" s="4"/>
    </row>
    <row r="166" spans="2:24">
      <c r="B166" s="4"/>
      <c r="C166" s="4"/>
      <c r="D166" s="4"/>
      <c r="E166" s="4"/>
      <c r="F166" s="26"/>
      <c r="G166" s="26"/>
      <c r="H166" s="26"/>
      <c r="I166" s="26"/>
      <c r="J166" s="26"/>
      <c r="K166" s="4"/>
      <c r="L166" s="4"/>
      <c r="M166" s="4"/>
      <c r="N166" s="4"/>
      <c r="O166" s="4"/>
      <c r="P166" s="4"/>
      <c r="Q166" s="4"/>
      <c r="R166" s="4"/>
      <c r="S166" s="4"/>
      <c r="T166" s="4"/>
      <c r="U166" s="4"/>
      <c r="V166" s="4"/>
      <c r="W166" s="4"/>
      <c r="X166" s="4"/>
    </row>
    <row r="167" spans="2:24">
      <c r="B167" s="4"/>
      <c r="C167" s="4"/>
      <c r="D167" s="4"/>
      <c r="E167" s="4"/>
      <c r="F167" s="26"/>
      <c r="G167" s="26"/>
      <c r="H167" s="26"/>
      <c r="I167" s="26"/>
      <c r="J167" s="26"/>
      <c r="K167" s="4"/>
      <c r="L167" s="4"/>
      <c r="M167" s="4"/>
      <c r="N167" s="4"/>
      <c r="O167" s="4"/>
      <c r="P167" s="4"/>
      <c r="Q167" s="4"/>
      <c r="R167" s="4"/>
      <c r="S167" s="4"/>
      <c r="T167" s="4"/>
      <c r="U167" s="4"/>
      <c r="V167" s="4"/>
      <c r="W167" s="4"/>
      <c r="X167" s="4"/>
    </row>
    <row r="168" spans="2:24">
      <c r="B168" s="4"/>
      <c r="C168" s="4"/>
      <c r="D168" s="4"/>
      <c r="E168" s="4"/>
      <c r="F168" s="26"/>
      <c r="G168" s="26"/>
      <c r="H168" s="26"/>
      <c r="I168" s="26"/>
      <c r="J168" s="26"/>
      <c r="K168" s="4"/>
      <c r="L168" s="4"/>
      <c r="M168" s="4"/>
      <c r="N168" s="4"/>
      <c r="O168" s="4"/>
      <c r="P168" s="4"/>
      <c r="Q168" s="4"/>
      <c r="R168" s="4"/>
      <c r="S168" s="4"/>
      <c r="T168" s="4"/>
      <c r="U168" s="4"/>
      <c r="V168" s="4"/>
      <c r="W168" s="4"/>
      <c r="X168" s="4"/>
    </row>
    <row r="169" spans="2:24">
      <c r="B169" s="4"/>
      <c r="C169" s="4"/>
      <c r="D169" s="4"/>
      <c r="E169" s="4"/>
      <c r="F169" s="26"/>
      <c r="G169" s="26"/>
      <c r="H169" s="26"/>
      <c r="I169" s="26"/>
      <c r="J169" s="26"/>
      <c r="K169" s="4"/>
      <c r="L169" s="4"/>
      <c r="M169" s="4"/>
      <c r="N169" s="4"/>
      <c r="O169" s="4"/>
      <c r="P169" s="4"/>
      <c r="Q169" s="4"/>
      <c r="R169" s="4"/>
      <c r="S169" s="4"/>
      <c r="T169" s="4"/>
      <c r="U169" s="4"/>
      <c r="V169" s="4"/>
      <c r="W169" s="4"/>
      <c r="X169" s="4"/>
    </row>
    <row r="170" spans="2:24">
      <c r="B170" s="4"/>
      <c r="C170" s="4"/>
      <c r="D170" s="4"/>
      <c r="E170" s="4"/>
      <c r="F170" s="26"/>
      <c r="G170" s="26"/>
      <c r="H170" s="26"/>
      <c r="I170" s="26"/>
      <c r="J170" s="26"/>
      <c r="K170" s="4"/>
      <c r="L170" s="4"/>
      <c r="M170" s="4"/>
      <c r="N170" s="4"/>
      <c r="O170" s="4"/>
      <c r="P170" s="4"/>
      <c r="Q170" s="4"/>
      <c r="R170" s="4"/>
      <c r="S170" s="4"/>
      <c r="T170" s="4"/>
      <c r="U170" s="4"/>
      <c r="V170" s="4"/>
      <c r="W170" s="4"/>
      <c r="X170" s="4"/>
    </row>
    <row r="171" spans="2:24">
      <c r="B171" s="4"/>
      <c r="C171" s="4"/>
      <c r="D171" s="4"/>
      <c r="E171" s="4"/>
      <c r="F171" s="26"/>
      <c r="G171" s="26"/>
      <c r="H171" s="26"/>
      <c r="I171" s="26"/>
      <c r="J171" s="26"/>
      <c r="K171" s="4"/>
      <c r="L171" s="4"/>
      <c r="M171" s="4"/>
      <c r="N171" s="4"/>
      <c r="O171" s="4"/>
      <c r="P171" s="4"/>
      <c r="Q171" s="4"/>
      <c r="R171" s="4"/>
      <c r="S171" s="4"/>
      <c r="T171" s="4"/>
      <c r="U171" s="4"/>
      <c r="V171" s="4"/>
      <c r="W171" s="4"/>
      <c r="X171" s="4"/>
    </row>
    <row r="172" spans="2:24">
      <c r="B172" s="4"/>
      <c r="C172" s="4"/>
      <c r="D172" s="4"/>
      <c r="E172" s="4"/>
      <c r="F172" s="26"/>
      <c r="G172" s="26"/>
      <c r="H172" s="26"/>
      <c r="I172" s="26"/>
      <c r="J172" s="26"/>
      <c r="K172" s="4"/>
      <c r="L172" s="4"/>
      <c r="M172" s="4"/>
      <c r="N172" s="4"/>
      <c r="O172" s="4"/>
      <c r="P172" s="4"/>
      <c r="Q172" s="4"/>
      <c r="R172" s="4"/>
      <c r="S172" s="4"/>
      <c r="T172" s="4"/>
      <c r="U172" s="4"/>
      <c r="V172" s="4"/>
      <c r="W172" s="4"/>
      <c r="X172" s="4"/>
    </row>
    <row r="173" spans="2:24">
      <c r="B173" s="4"/>
      <c r="C173" s="4"/>
      <c r="D173" s="4"/>
      <c r="E173" s="4"/>
      <c r="F173" s="26"/>
      <c r="G173" s="26"/>
      <c r="H173" s="26"/>
      <c r="I173" s="26"/>
      <c r="J173" s="26"/>
      <c r="K173" s="4"/>
      <c r="L173" s="4"/>
      <c r="M173" s="4"/>
      <c r="N173" s="4"/>
      <c r="O173" s="4"/>
      <c r="P173" s="4"/>
      <c r="Q173" s="4"/>
      <c r="R173" s="4"/>
      <c r="S173" s="4"/>
      <c r="T173" s="4"/>
      <c r="U173" s="4"/>
      <c r="V173" s="4"/>
      <c r="W173" s="4"/>
      <c r="X173" s="4"/>
    </row>
    <row r="174" spans="2:24">
      <c r="B174" s="4"/>
      <c r="C174" s="4"/>
      <c r="D174" s="4"/>
      <c r="E174" s="4"/>
      <c r="F174" s="26"/>
      <c r="G174" s="26"/>
      <c r="H174" s="26"/>
      <c r="I174" s="26"/>
      <c r="J174" s="26"/>
      <c r="K174" s="4"/>
      <c r="L174" s="4"/>
      <c r="M174" s="4"/>
      <c r="N174" s="4"/>
      <c r="O174" s="4"/>
      <c r="P174" s="4"/>
      <c r="Q174" s="4"/>
      <c r="R174" s="4"/>
      <c r="S174" s="4"/>
      <c r="T174" s="4"/>
      <c r="U174" s="4"/>
      <c r="V174" s="4"/>
      <c r="W174" s="4"/>
      <c r="X174" s="4"/>
    </row>
    <row r="175" spans="2:24">
      <c r="B175" s="4"/>
      <c r="C175" s="4"/>
      <c r="D175" s="4"/>
      <c r="E175" s="4"/>
      <c r="F175" s="26"/>
      <c r="G175" s="26"/>
      <c r="H175" s="26"/>
      <c r="I175" s="26"/>
      <c r="J175" s="26"/>
      <c r="K175" s="4"/>
      <c r="L175" s="4"/>
      <c r="M175" s="4"/>
      <c r="N175" s="4"/>
      <c r="O175" s="4"/>
      <c r="P175" s="4"/>
      <c r="Q175" s="4"/>
      <c r="R175" s="4"/>
      <c r="S175" s="4"/>
      <c r="T175" s="4"/>
      <c r="U175" s="4"/>
      <c r="V175" s="4"/>
      <c r="W175" s="4"/>
      <c r="X175" s="4"/>
    </row>
    <row r="176" spans="2:24">
      <c r="B176" s="4"/>
      <c r="C176" s="4"/>
      <c r="D176" s="4"/>
      <c r="E176" s="4"/>
      <c r="F176" s="26"/>
      <c r="G176" s="26"/>
      <c r="H176" s="26"/>
      <c r="I176" s="26"/>
      <c r="J176" s="26"/>
      <c r="K176" s="4"/>
      <c r="L176" s="4"/>
      <c r="M176" s="4"/>
      <c r="N176" s="4"/>
      <c r="O176" s="4"/>
      <c r="P176" s="4"/>
      <c r="Q176" s="4"/>
      <c r="R176" s="4"/>
      <c r="S176" s="4"/>
      <c r="T176" s="4"/>
      <c r="U176" s="4"/>
      <c r="V176" s="4"/>
      <c r="W176" s="4"/>
      <c r="X176" s="4"/>
    </row>
    <row r="177" spans="2:24">
      <c r="B177" s="4"/>
      <c r="C177" s="4"/>
      <c r="D177" s="4"/>
      <c r="E177" s="4"/>
      <c r="F177" s="26"/>
      <c r="G177" s="26"/>
      <c r="H177" s="26"/>
      <c r="I177" s="26"/>
      <c r="J177" s="26"/>
      <c r="K177" s="4"/>
      <c r="L177" s="4"/>
      <c r="M177" s="4"/>
      <c r="N177" s="4"/>
      <c r="O177" s="4"/>
      <c r="P177" s="4"/>
      <c r="Q177" s="4"/>
      <c r="R177" s="4"/>
      <c r="S177" s="4"/>
      <c r="T177" s="4"/>
      <c r="U177" s="4"/>
      <c r="V177" s="4"/>
      <c r="W177" s="4"/>
      <c r="X177" s="4"/>
    </row>
    <row r="178" spans="2:24">
      <c r="B178" s="4"/>
      <c r="C178" s="4"/>
      <c r="D178" s="4"/>
      <c r="E178" s="4"/>
      <c r="F178" s="26"/>
      <c r="G178" s="26"/>
      <c r="H178" s="26"/>
      <c r="I178" s="26"/>
      <c r="J178" s="26"/>
      <c r="K178" s="4"/>
      <c r="L178" s="4"/>
      <c r="M178" s="4"/>
      <c r="N178" s="4"/>
      <c r="O178" s="4"/>
      <c r="P178" s="4"/>
      <c r="Q178" s="4"/>
      <c r="R178" s="4"/>
      <c r="S178" s="4"/>
      <c r="T178" s="4"/>
      <c r="U178" s="4"/>
      <c r="V178" s="4"/>
      <c r="W178" s="4"/>
      <c r="X178" s="4"/>
    </row>
    <row r="179" spans="2:24">
      <c r="B179" s="4"/>
      <c r="C179" s="4"/>
      <c r="D179" s="4"/>
      <c r="E179" s="4"/>
      <c r="F179" s="26"/>
      <c r="G179" s="26"/>
      <c r="H179" s="26"/>
      <c r="I179" s="26"/>
      <c r="J179" s="26"/>
      <c r="K179" s="4"/>
      <c r="L179" s="4"/>
      <c r="M179" s="4"/>
      <c r="N179" s="4"/>
      <c r="O179" s="4"/>
      <c r="P179" s="4"/>
      <c r="Q179" s="4"/>
      <c r="R179" s="4"/>
      <c r="S179" s="4"/>
      <c r="T179" s="4"/>
      <c r="U179" s="4"/>
      <c r="V179" s="4"/>
      <c r="W179" s="4"/>
      <c r="X179" s="4"/>
    </row>
    <row r="180" spans="2:24">
      <c r="B180" s="4"/>
      <c r="C180" s="4"/>
      <c r="D180" s="4"/>
      <c r="E180" s="4"/>
      <c r="F180" s="26"/>
      <c r="G180" s="26"/>
      <c r="H180" s="26"/>
      <c r="I180" s="26"/>
      <c r="J180" s="26"/>
      <c r="K180" s="4"/>
      <c r="L180" s="4"/>
      <c r="M180" s="4"/>
      <c r="N180" s="4"/>
      <c r="O180" s="4"/>
      <c r="P180" s="4"/>
      <c r="Q180" s="4"/>
      <c r="R180" s="4"/>
      <c r="S180" s="4"/>
      <c r="T180" s="4"/>
      <c r="U180" s="4"/>
      <c r="V180" s="4"/>
      <c r="W180" s="4"/>
      <c r="X180" s="4"/>
    </row>
    <row r="181" spans="2:24">
      <c r="B181" s="4"/>
      <c r="C181" s="4"/>
      <c r="D181" s="4"/>
      <c r="E181" s="4"/>
      <c r="F181" s="26"/>
      <c r="G181" s="26"/>
      <c r="H181" s="26"/>
      <c r="I181" s="26"/>
      <c r="J181" s="26"/>
      <c r="K181" s="4"/>
      <c r="L181" s="4"/>
      <c r="M181" s="4"/>
      <c r="N181" s="4"/>
      <c r="O181" s="4"/>
      <c r="P181" s="4"/>
      <c r="Q181" s="4"/>
      <c r="R181" s="4"/>
      <c r="S181" s="4"/>
      <c r="T181" s="4"/>
      <c r="U181" s="4"/>
      <c r="V181" s="4"/>
      <c r="W181" s="4"/>
      <c r="X181" s="4"/>
    </row>
    <row r="182" spans="2:24">
      <c r="B182" s="4"/>
      <c r="C182" s="4"/>
      <c r="D182" s="4"/>
      <c r="E182" s="4"/>
      <c r="F182" s="26"/>
      <c r="G182" s="26"/>
      <c r="H182" s="26"/>
      <c r="I182" s="26"/>
      <c r="J182" s="26"/>
      <c r="K182" s="4"/>
      <c r="L182" s="4"/>
      <c r="M182" s="4"/>
      <c r="N182" s="4"/>
      <c r="O182" s="4"/>
      <c r="P182" s="4"/>
      <c r="Q182" s="4"/>
      <c r="R182" s="4"/>
      <c r="S182" s="4"/>
      <c r="T182" s="4"/>
      <c r="U182" s="4"/>
      <c r="V182" s="4"/>
      <c r="W182" s="4"/>
      <c r="X182" s="4"/>
    </row>
    <row r="183" spans="2:24">
      <c r="B183" s="4"/>
      <c r="C183" s="4"/>
      <c r="D183" s="4"/>
      <c r="E183" s="4"/>
      <c r="F183" s="26"/>
      <c r="G183" s="26"/>
      <c r="H183" s="26"/>
      <c r="I183" s="26"/>
      <c r="J183" s="26"/>
      <c r="K183" s="4"/>
      <c r="L183" s="4"/>
      <c r="M183" s="4"/>
      <c r="N183" s="4"/>
      <c r="O183" s="4"/>
      <c r="P183" s="4"/>
      <c r="Q183" s="4"/>
      <c r="R183" s="4"/>
      <c r="S183" s="4"/>
      <c r="T183" s="4"/>
      <c r="U183" s="4"/>
      <c r="V183" s="4"/>
      <c r="W183" s="4"/>
      <c r="X183" s="4"/>
    </row>
    <row r="184" spans="2:24">
      <c r="B184" s="4"/>
      <c r="C184" s="4"/>
      <c r="D184" s="4"/>
      <c r="E184" s="4"/>
      <c r="F184" s="26"/>
      <c r="G184" s="26"/>
      <c r="H184" s="26"/>
      <c r="I184" s="26"/>
      <c r="J184" s="26"/>
      <c r="K184" s="4"/>
      <c r="L184" s="4"/>
      <c r="M184" s="4"/>
      <c r="N184" s="4"/>
      <c r="O184" s="4"/>
      <c r="P184" s="4"/>
      <c r="Q184" s="4"/>
      <c r="R184" s="4"/>
      <c r="S184" s="4"/>
      <c r="T184" s="4"/>
      <c r="U184" s="4"/>
      <c r="V184" s="4"/>
      <c r="W184" s="4"/>
      <c r="X184" s="4"/>
    </row>
    <row r="185" spans="2:24">
      <c r="B185" s="4"/>
      <c r="C185" s="4"/>
      <c r="D185" s="4"/>
      <c r="E185" s="4"/>
      <c r="F185" s="26"/>
      <c r="G185" s="26"/>
      <c r="H185" s="26"/>
      <c r="I185" s="26"/>
      <c r="J185" s="26"/>
      <c r="K185" s="4"/>
      <c r="L185" s="4"/>
      <c r="M185" s="4"/>
      <c r="N185" s="4"/>
      <c r="O185" s="4"/>
      <c r="P185" s="4"/>
      <c r="Q185" s="4"/>
      <c r="R185" s="4"/>
      <c r="S185" s="4"/>
      <c r="T185" s="4"/>
      <c r="U185" s="4"/>
      <c r="V185" s="4"/>
      <c r="W185" s="4"/>
      <c r="X185" s="4"/>
    </row>
    <row r="186" spans="2:24">
      <c r="B186" s="4"/>
      <c r="C186" s="4"/>
      <c r="D186" s="4"/>
      <c r="E186" s="4"/>
      <c r="F186" s="26"/>
      <c r="G186" s="26"/>
      <c r="H186" s="26"/>
      <c r="I186" s="26"/>
      <c r="J186" s="26"/>
      <c r="K186" s="4"/>
      <c r="L186" s="4"/>
      <c r="M186" s="4"/>
      <c r="N186" s="4"/>
      <c r="O186" s="4"/>
      <c r="P186" s="4"/>
      <c r="Q186" s="4"/>
      <c r="R186" s="4"/>
      <c r="S186" s="4"/>
      <c r="T186" s="4"/>
      <c r="U186" s="4"/>
      <c r="V186" s="4"/>
      <c r="W186" s="4"/>
      <c r="X186" s="4"/>
    </row>
    <row r="187" spans="2:24">
      <c r="B187" s="4"/>
      <c r="C187" s="4"/>
      <c r="D187" s="4"/>
      <c r="E187" s="4"/>
      <c r="F187" s="26"/>
      <c r="G187" s="26"/>
      <c r="H187" s="26"/>
      <c r="I187" s="26"/>
      <c r="J187" s="26"/>
      <c r="K187" s="4"/>
      <c r="L187" s="4"/>
      <c r="M187" s="4"/>
      <c r="N187" s="4"/>
      <c r="O187" s="4"/>
      <c r="P187" s="4"/>
      <c r="Q187" s="4"/>
      <c r="R187" s="4"/>
      <c r="S187" s="4"/>
      <c r="T187" s="4"/>
      <c r="U187" s="4"/>
      <c r="V187" s="4"/>
      <c r="W187" s="4"/>
      <c r="X187" s="4"/>
    </row>
    <row r="188" spans="2:24">
      <c r="B188" s="4"/>
      <c r="C188" s="4"/>
      <c r="D188" s="4"/>
      <c r="E188" s="4"/>
      <c r="F188" s="26"/>
      <c r="G188" s="26"/>
      <c r="H188" s="26"/>
      <c r="I188" s="26"/>
      <c r="J188" s="26"/>
      <c r="K188" s="4"/>
      <c r="L188" s="4"/>
      <c r="M188" s="4"/>
      <c r="N188" s="4"/>
      <c r="O188" s="4"/>
      <c r="P188" s="4"/>
      <c r="Q188" s="4"/>
      <c r="R188" s="4"/>
      <c r="S188" s="4"/>
      <c r="T188" s="4"/>
      <c r="U188" s="4"/>
      <c r="V188" s="4"/>
      <c r="W188" s="4"/>
      <c r="X188" s="4"/>
    </row>
    <row r="189" spans="2:24">
      <c r="B189" s="4"/>
      <c r="C189" s="4"/>
      <c r="D189" s="4"/>
      <c r="E189" s="4"/>
      <c r="F189" s="26"/>
      <c r="G189" s="26"/>
      <c r="H189" s="26"/>
      <c r="I189" s="26"/>
      <c r="J189" s="26"/>
      <c r="K189" s="4"/>
      <c r="L189" s="4"/>
      <c r="M189" s="4"/>
      <c r="N189" s="4"/>
      <c r="O189" s="4"/>
      <c r="P189" s="4"/>
      <c r="Q189" s="4"/>
      <c r="R189" s="4"/>
      <c r="S189" s="4"/>
      <c r="T189" s="4"/>
      <c r="U189" s="4"/>
      <c r="V189" s="4"/>
      <c r="W189" s="4"/>
      <c r="X189" s="4"/>
    </row>
    <row r="190" spans="2:24">
      <c r="B190" s="4"/>
      <c r="C190" s="4"/>
      <c r="D190" s="4"/>
      <c r="E190" s="4"/>
      <c r="F190" s="26"/>
      <c r="G190" s="26"/>
      <c r="H190" s="26"/>
      <c r="I190" s="26"/>
      <c r="J190" s="26"/>
      <c r="K190" s="4"/>
      <c r="L190" s="4"/>
      <c r="M190" s="4"/>
      <c r="N190" s="4"/>
      <c r="O190" s="4"/>
      <c r="P190" s="4"/>
      <c r="Q190" s="4"/>
      <c r="R190" s="4"/>
      <c r="S190" s="4"/>
      <c r="T190" s="4"/>
      <c r="U190" s="4"/>
      <c r="V190" s="4"/>
      <c r="W190" s="4"/>
      <c r="X190" s="4"/>
    </row>
    <row r="191" spans="2:24">
      <c r="B191" s="4"/>
      <c r="C191" s="4"/>
      <c r="D191" s="4"/>
      <c r="E191" s="4"/>
      <c r="F191" s="26"/>
      <c r="G191" s="26"/>
      <c r="H191" s="26"/>
      <c r="I191" s="26"/>
      <c r="J191" s="26"/>
      <c r="K191" s="4"/>
      <c r="L191" s="4"/>
      <c r="M191" s="4"/>
      <c r="N191" s="4"/>
      <c r="O191" s="4"/>
      <c r="P191" s="4"/>
      <c r="Q191" s="4"/>
      <c r="R191" s="4"/>
      <c r="S191" s="4"/>
      <c r="T191" s="4"/>
      <c r="U191" s="4"/>
      <c r="V191" s="4"/>
      <c r="W191" s="4"/>
      <c r="X191" s="4"/>
    </row>
    <row r="192" spans="2:24">
      <c r="B192" s="4"/>
      <c r="C192" s="4"/>
      <c r="D192" s="4"/>
      <c r="E192" s="4"/>
      <c r="F192" s="26"/>
      <c r="G192" s="26"/>
      <c r="H192" s="26"/>
      <c r="I192" s="26"/>
      <c r="J192" s="26"/>
      <c r="K192" s="4"/>
      <c r="L192" s="4"/>
      <c r="M192" s="4"/>
      <c r="N192" s="4"/>
      <c r="O192" s="4"/>
      <c r="P192" s="4"/>
      <c r="Q192" s="4"/>
      <c r="R192" s="4"/>
      <c r="S192" s="4"/>
      <c r="T192" s="4"/>
      <c r="U192" s="4"/>
      <c r="V192" s="4"/>
      <c r="W192" s="4"/>
      <c r="X192" s="4"/>
    </row>
    <row r="193" spans="2:24">
      <c r="B193" s="4"/>
      <c r="C193" s="4"/>
      <c r="D193" s="4"/>
      <c r="E193" s="4"/>
      <c r="F193" s="26"/>
      <c r="G193" s="26"/>
      <c r="H193" s="26"/>
      <c r="I193" s="26"/>
      <c r="J193" s="26"/>
      <c r="K193" s="4"/>
      <c r="L193" s="4"/>
      <c r="M193" s="4"/>
      <c r="N193" s="4"/>
      <c r="O193" s="4"/>
      <c r="P193" s="4"/>
      <c r="Q193" s="4"/>
      <c r="R193" s="4"/>
      <c r="S193" s="4"/>
      <c r="T193" s="4"/>
      <c r="U193" s="4"/>
      <c r="V193" s="4"/>
      <c r="W193" s="4"/>
      <c r="X193" s="4"/>
    </row>
    <row r="194" spans="2:24">
      <c r="B194" s="4"/>
      <c r="C194" s="4"/>
      <c r="D194" s="4"/>
      <c r="E194" s="4"/>
      <c r="F194" s="26"/>
      <c r="G194" s="26"/>
      <c r="H194" s="26"/>
      <c r="I194" s="26"/>
      <c r="J194" s="26"/>
      <c r="K194" s="4"/>
      <c r="L194" s="4"/>
      <c r="M194" s="4"/>
      <c r="N194" s="4"/>
      <c r="O194" s="4"/>
      <c r="P194" s="4"/>
      <c r="Q194" s="4"/>
      <c r="R194" s="4"/>
      <c r="S194" s="4"/>
      <c r="T194" s="4"/>
      <c r="U194" s="4"/>
      <c r="V194" s="4"/>
      <c r="W194" s="4"/>
      <c r="X194" s="4"/>
    </row>
    <row r="195" spans="2:24">
      <c r="B195" s="4"/>
      <c r="C195" s="4"/>
      <c r="D195" s="4"/>
      <c r="E195" s="4"/>
      <c r="F195" s="26"/>
      <c r="G195" s="26"/>
      <c r="H195" s="26"/>
      <c r="I195" s="26"/>
      <c r="J195" s="26"/>
      <c r="K195" s="4"/>
      <c r="L195" s="4"/>
      <c r="M195" s="4"/>
      <c r="N195" s="4"/>
      <c r="O195" s="4"/>
      <c r="P195" s="4"/>
      <c r="Q195" s="4"/>
      <c r="R195" s="4"/>
      <c r="S195" s="4"/>
      <c r="T195" s="4"/>
      <c r="U195" s="4"/>
      <c r="V195" s="4"/>
      <c r="W195" s="4"/>
      <c r="X195" s="4"/>
    </row>
    <row r="196" spans="2:24">
      <c r="B196" s="4"/>
      <c r="C196" s="4"/>
      <c r="D196" s="4"/>
      <c r="E196" s="4"/>
      <c r="F196" s="26"/>
      <c r="G196" s="26"/>
      <c r="H196" s="26"/>
      <c r="I196" s="26"/>
      <c r="J196" s="26"/>
      <c r="K196" s="4"/>
      <c r="L196" s="4"/>
      <c r="M196" s="4"/>
      <c r="N196" s="4"/>
      <c r="O196" s="4"/>
      <c r="P196" s="4"/>
      <c r="Q196" s="4"/>
      <c r="R196" s="4"/>
      <c r="S196" s="4"/>
      <c r="T196" s="4"/>
      <c r="U196" s="4"/>
      <c r="V196" s="4"/>
      <c r="W196" s="4"/>
      <c r="X196" s="4"/>
    </row>
    <row r="197" spans="2:24">
      <c r="B197" s="4"/>
      <c r="C197" s="4"/>
      <c r="D197" s="4"/>
      <c r="E197" s="4"/>
      <c r="F197" s="26"/>
      <c r="G197" s="26"/>
      <c r="H197" s="26"/>
      <c r="I197" s="26"/>
      <c r="J197" s="26"/>
      <c r="K197" s="4"/>
      <c r="L197" s="4"/>
      <c r="M197" s="4"/>
      <c r="N197" s="4"/>
      <c r="O197" s="4"/>
      <c r="P197" s="4"/>
      <c r="Q197" s="4"/>
      <c r="R197" s="4"/>
      <c r="S197" s="4"/>
      <c r="T197" s="4"/>
      <c r="U197" s="4"/>
      <c r="V197" s="4"/>
      <c r="W197" s="4"/>
      <c r="X197" s="4"/>
    </row>
    <row r="198" spans="2:24">
      <c r="B198" s="4"/>
      <c r="C198" s="4"/>
      <c r="D198" s="4"/>
      <c r="E198" s="4"/>
      <c r="F198" s="26"/>
      <c r="G198" s="26"/>
      <c r="H198" s="26"/>
      <c r="I198" s="26"/>
      <c r="J198" s="26"/>
      <c r="K198" s="4"/>
      <c r="L198" s="4"/>
      <c r="M198" s="4"/>
      <c r="N198" s="4"/>
      <c r="O198" s="4"/>
      <c r="P198" s="4"/>
      <c r="Q198" s="4"/>
      <c r="R198" s="4"/>
      <c r="S198" s="4"/>
      <c r="T198" s="4"/>
      <c r="U198" s="4"/>
      <c r="V198" s="4"/>
      <c r="W198" s="4"/>
      <c r="X198" s="4"/>
    </row>
    <row r="199" spans="2:24">
      <c r="B199" s="4"/>
      <c r="C199" s="4"/>
      <c r="D199" s="4"/>
      <c r="E199" s="4"/>
      <c r="F199" s="26"/>
      <c r="G199" s="26"/>
      <c r="H199" s="26"/>
      <c r="I199" s="26"/>
      <c r="J199" s="26"/>
      <c r="K199" s="4"/>
      <c r="L199" s="4"/>
      <c r="M199" s="4"/>
      <c r="N199" s="4"/>
      <c r="O199" s="4"/>
      <c r="P199" s="4"/>
      <c r="Q199" s="4"/>
      <c r="R199" s="4"/>
      <c r="S199" s="4"/>
      <c r="T199" s="4"/>
      <c r="U199" s="4"/>
      <c r="V199" s="4"/>
      <c r="W199" s="4"/>
      <c r="X199" s="4"/>
    </row>
    <row r="200" spans="2:24">
      <c r="B200" s="4"/>
      <c r="C200" s="4"/>
      <c r="D200" s="4"/>
      <c r="E200" s="4"/>
      <c r="F200" s="26"/>
      <c r="G200" s="26"/>
      <c r="H200" s="26"/>
      <c r="I200" s="26"/>
      <c r="J200" s="26"/>
      <c r="K200" s="4"/>
      <c r="L200" s="4"/>
      <c r="M200" s="4"/>
      <c r="N200" s="4"/>
      <c r="O200" s="4"/>
      <c r="P200" s="4"/>
      <c r="Q200" s="4"/>
      <c r="R200" s="4"/>
      <c r="S200" s="4"/>
      <c r="T200" s="4"/>
      <c r="U200" s="4"/>
      <c r="V200" s="4"/>
      <c r="W200" s="4"/>
      <c r="X200" s="4"/>
    </row>
    <row r="201" spans="2:24">
      <c r="B201" s="4"/>
      <c r="C201" s="4"/>
      <c r="D201" s="4"/>
      <c r="E201" s="4"/>
      <c r="F201" s="26"/>
      <c r="G201" s="26"/>
      <c r="H201" s="26"/>
      <c r="I201" s="26"/>
      <c r="J201" s="26"/>
      <c r="K201" s="4"/>
      <c r="L201" s="4"/>
      <c r="M201" s="4"/>
      <c r="N201" s="4"/>
      <c r="O201" s="4"/>
      <c r="P201" s="4"/>
      <c r="Q201" s="4"/>
      <c r="R201" s="4"/>
      <c r="S201" s="4"/>
      <c r="T201" s="4"/>
      <c r="U201" s="4"/>
      <c r="V201" s="4"/>
      <c r="W201" s="4"/>
      <c r="X201" s="4"/>
    </row>
    <row r="202" spans="2:24">
      <c r="B202" s="4"/>
      <c r="C202" s="4"/>
      <c r="D202" s="4"/>
      <c r="E202" s="4"/>
      <c r="F202" s="26"/>
      <c r="G202" s="26"/>
      <c r="H202" s="26"/>
      <c r="I202" s="26"/>
      <c r="J202" s="26"/>
      <c r="K202" s="4"/>
      <c r="L202" s="4"/>
      <c r="M202" s="4"/>
      <c r="N202" s="4"/>
      <c r="O202" s="4"/>
      <c r="P202" s="4"/>
      <c r="Q202" s="4"/>
      <c r="R202" s="4"/>
      <c r="S202" s="4"/>
      <c r="T202" s="4"/>
      <c r="U202" s="4"/>
      <c r="V202" s="4"/>
      <c r="W202" s="4"/>
      <c r="X202" s="4"/>
    </row>
    <row r="203" spans="2:24">
      <c r="B203" s="4"/>
      <c r="C203" s="4"/>
      <c r="D203" s="4"/>
      <c r="E203" s="4"/>
      <c r="F203" s="26"/>
      <c r="G203" s="26"/>
      <c r="H203" s="26"/>
      <c r="I203" s="26"/>
      <c r="J203" s="26"/>
      <c r="K203" s="4"/>
      <c r="L203" s="4"/>
      <c r="M203" s="4"/>
      <c r="N203" s="4"/>
      <c r="O203" s="4"/>
      <c r="P203" s="4"/>
      <c r="Q203" s="4"/>
      <c r="R203" s="4"/>
      <c r="S203" s="4"/>
      <c r="T203" s="4"/>
      <c r="U203" s="4"/>
      <c r="V203" s="4"/>
      <c r="W203" s="4"/>
      <c r="X203" s="4"/>
    </row>
    <row r="204" spans="2:24">
      <c r="B204" s="4"/>
      <c r="C204" s="4"/>
      <c r="D204" s="4"/>
      <c r="E204" s="4"/>
      <c r="F204" s="26"/>
      <c r="G204" s="26"/>
      <c r="H204" s="26"/>
      <c r="I204" s="26"/>
      <c r="J204" s="26"/>
      <c r="K204" s="4"/>
      <c r="L204" s="4"/>
      <c r="M204" s="4"/>
      <c r="N204" s="4"/>
      <c r="O204" s="4"/>
      <c r="P204" s="4"/>
      <c r="Q204" s="4"/>
      <c r="R204" s="4"/>
      <c r="S204" s="4"/>
      <c r="T204" s="4"/>
      <c r="U204" s="4"/>
      <c r="V204" s="4"/>
      <c r="W204" s="4"/>
      <c r="X204" s="4"/>
    </row>
    <row r="205" spans="2:24">
      <c r="B205" s="4"/>
      <c r="C205" s="4"/>
      <c r="D205" s="4"/>
      <c r="E205" s="4"/>
      <c r="F205" s="26"/>
      <c r="G205" s="26"/>
      <c r="H205" s="26"/>
      <c r="I205" s="26"/>
      <c r="J205" s="26"/>
      <c r="K205" s="4"/>
      <c r="L205" s="4"/>
      <c r="M205" s="4"/>
      <c r="N205" s="4"/>
      <c r="O205" s="4"/>
      <c r="P205" s="4"/>
      <c r="Q205" s="4"/>
      <c r="R205" s="4"/>
      <c r="S205" s="4"/>
      <c r="T205" s="4"/>
      <c r="U205" s="4"/>
      <c r="V205" s="4"/>
      <c r="W205" s="4"/>
      <c r="X205" s="4"/>
    </row>
    <row r="206" spans="2:24">
      <c r="B206" s="4"/>
      <c r="C206" s="4"/>
      <c r="D206" s="4"/>
      <c r="E206" s="4"/>
      <c r="F206" s="26"/>
      <c r="G206" s="26"/>
      <c r="H206" s="26"/>
      <c r="I206" s="26"/>
      <c r="J206" s="26"/>
      <c r="K206" s="4"/>
      <c r="L206" s="4"/>
      <c r="M206" s="4"/>
      <c r="N206" s="4"/>
      <c r="O206" s="4"/>
      <c r="P206" s="4"/>
      <c r="Q206" s="4"/>
      <c r="R206" s="4"/>
      <c r="S206" s="4"/>
      <c r="T206" s="4"/>
      <c r="U206" s="4"/>
      <c r="V206" s="4"/>
      <c r="W206" s="4"/>
      <c r="X206" s="4"/>
    </row>
    <row r="207" spans="2:24">
      <c r="B207" s="4"/>
      <c r="C207" s="4"/>
      <c r="D207" s="4"/>
      <c r="E207" s="4"/>
      <c r="F207" s="26"/>
      <c r="G207" s="26"/>
      <c r="H207" s="26"/>
      <c r="I207" s="26"/>
      <c r="J207" s="26"/>
      <c r="K207" s="4"/>
      <c r="L207" s="4"/>
      <c r="M207" s="4"/>
      <c r="N207" s="4"/>
      <c r="O207" s="4"/>
      <c r="P207" s="4"/>
      <c r="Q207" s="4"/>
      <c r="R207" s="4"/>
      <c r="S207" s="4"/>
      <c r="T207" s="4"/>
      <c r="U207" s="4"/>
      <c r="V207" s="4"/>
      <c r="W207" s="4"/>
      <c r="X207" s="4"/>
    </row>
    <row r="208" spans="2:24">
      <c r="B208" s="4"/>
      <c r="C208" s="4"/>
      <c r="D208" s="4"/>
      <c r="E208" s="4"/>
      <c r="F208" s="26"/>
      <c r="G208" s="26"/>
      <c r="H208" s="26"/>
      <c r="I208" s="26"/>
      <c r="J208" s="26"/>
      <c r="K208" s="4"/>
      <c r="L208" s="4"/>
      <c r="M208" s="4"/>
      <c r="N208" s="4"/>
      <c r="O208" s="4"/>
      <c r="P208" s="4"/>
      <c r="Q208" s="4"/>
      <c r="R208" s="4"/>
      <c r="S208" s="4"/>
      <c r="T208" s="4"/>
      <c r="U208" s="4"/>
      <c r="V208" s="4"/>
      <c r="W208" s="4"/>
      <c r="X208" s="4"/>
    </row>
    <row r="209" spans="2:24">
      <c r="B209" s="4"/>
      <c r="C209" s="4"/>
      <c r="D209" s="4"/>
      <c r="E209" s="4"/>
      <c r="F209" s="26"/>
      <c r="G209" s="26"/>
      <c r="H209" s="26"/>
      <c r="I209" s="26"/>
      <c r="J209" s="26"/>
      <c r="K209" s="4"/>
      <c r="L209" s="4"/>
      <c r="M209" s="4"/>
      <c r="N209" s="4"/>
      <c r="O209" s="4"/>
      <c r="P209" s="4"/>
      <c r="Q209" s="4"/>
      <c r="R209" s="4"/>
      <c r="S209" s="4"/>
      <c r="T209" s="4"/>
      <c r="U209" s="4"/>
      <c r="V209" s="4"/>
      <c r="W209" s="4"/>
      <c r="X209" s="4"/>
    </row>
    <row r="210" spans="2:24">
      <c r="B210" s="4"/>
      <c r="C210" s="4"/>
      <c r="D210" s="4"/>
      <c r="E210" s="4"/>
      <c r="F210" s="26"/>
      <c r="G210" s="26"/>
      <c r="H210" s="26"/>
      <c r="I210" s="26"/>
      <c r="J210" s="26"/>
      <c r="K210" s="4"/>
      <c r="L210" s="4"/>
      <c r="M210" s="4"/>
      <c r="N210" s="4"/>
      <c r="O210" s="4"/>
      <c r="P210" s="4"/>
      <c r="Q210" s="4"/>
      <c r="R210" s="4"/>
      <c r="S210" s="4"/>
      <c r="T210" s="4"/>
      <c r="U210" s="4"/>
      <c r="V210" s="4"/>
      <c r="W210" s="4"/>
      <c r="X210" s="4"/>
    </row>
    <row r="211" spans="2:24">
      <c r="B211" s="4"/>
      <c r="C211" s="4"/>
      <c r="D211" s="4"/>
      <c r="E211" s="4"/>
      <c r="F211" s="26"/>
      <c r="G211" s="26"/>
      <c r="H211" s="26"/>
      <c r="I211" s="26"/>
      <c r="J211" s="26"/>
      <c r="K211" s="4"/>
      <c r="L211" s="4"/>
      <c r="M211" s="4"/>
      <c r="N211" s="4"/>
      <c r="O211" s="4"/>
      <c r="P211" s="4"/>
      <c r="Q211" s="4"/>
      <c r="R211" s="4"/>
      <c r="S211" s="4"/>
      <c r="T211" s="4"/>
      <c r="U211" s="4"/>
      <c r="V211" s="4"/>
      <c r="W211" s="4"/>
      <c r="X211" s="4"/>
    </row>
    <row r="212" spans="2:24">
      <c r="B212" s="4"/>
      <c r="C212" s="4"/>
      <c r="D212" s="4"/>
      <c r="E212" s="4"/>
      <c r="F212" s="26"/>
      <c r="G212" s="26"/>
      <c r="H212" s="26"/>
      <c r="I212" s="26"/>
      <c r="J212" s="26"/>
      <c r="K212" s="4"/>
      <c r="L212" s="4"/>
      <c r="M212" s="4"/>
      <c r="N212" s="4"/>
      <c r="O212" s="4"/>
      <c r="P212" s="4"/>
      <c r="Q212" s="4"/>
      <c r="R212" s="4"/>
      <c r="S212" s="4"/>
      <c r="T212" s="4"/>
      <c r="U212" s="4"/>
      <c r="V212" s="4"/>
      <c r="W212" s="4"/>
      <c r="X212" s="4"/>
    </row>
    <row r="213" spans="2:24">
      <c r="B213" s="4"/>
      <c r="C213" s="4"/>
      <c r="D213" s="4"/>
      <c r="E213" s="4"/>
      <c r="F213" s="26"/>
      <c r="G213" s="26"/>
      <c r="H213" s="26"/>
      <c r="I213" s="26"/>
      <c r="J213" s="26"/>
      <c r="K213" s="4"/>
      <c r="L213" s="4"/>
      <c r="M213" s="4"/>
      <c r="N213" s="4"/>
      <c r="O213" s="4"/>
      <c r="P213" s="4"/>
      <c r="Q213" s="4"/>
      <c r="R213" s="4"/>
      <c r="S213" s="4"/>
      <c r="T213" s="4"/>
      <c r="U213" s="4"/>
      <c r="V213" s="4"/>
      <c r="W213" s="4"/>
      <c r="X213" s="4"/>
    </row>
    <row r="214" spans="2:24">
      <c r="B214" s="4"/>
      <c r="C214" s="4"/>
      <c r="D214" s="4"/>
      <c r="E214" s="4"/>
      <c r="F214" s="26"/>
      <c r="G214" s="26"/>
      <c r="H214" s="26"/>
      <c r="I214" s="26"/>
      <c r="J214" s="26"/>
      <c r="K214" s="4"/>
      <c r="L214" s="4"/>
      <c r="M214" s="4"/>
      <c r="N214" s="4"/>
      <c r="O214" s="4"/>
      <c r="P214" s="4"/>
      <c r="Q214" s="4"/>
      <c r="R214" s="4"/>
      <c r="S214" s="4"/>
      <c r="T214" s="4"/>
      <c r="U214" s="4"/>
      <c r="V214" s="4"/>
      <c r="W214" s="4"/>
      <c r="X214" s="4"/>
    </row>
    <row r="215" spans="2:24">
      <c r="B215" s="4"/>
      <c r="C215" s="4"/>
      <c r="D215" s="4"/>
      <c r="E215" s="4"/>
      <c r="F215" s="26"/>
      <c r="G215" s="26"/>
      <c r="H215" s="26"/>
      <c r="I215" s="26"/>
      <c r="J215" s="26"/>
      <c r="K215" s="4"/>
      <c r="L215" s="4"/>
      <c r="M215" s="4"/>
      <c r="N215" s="4"/>
      <c r="O215" s="4"/>
      <c r="P215" s="4"/>
      <c r="Q215" s="4"/>
      <c r="R215" s="4"/>
      <c r="S215" s="4"/>
      <c r="T215" s="4"/>
      <c r="U215" s="4"/>
      <c r="V215" s="4"/>
      <c r="W215" s="4"/>
      <c r="X215" s="4"/>
    </row>
    <row r="216" spans="2:24">
      <c r="B216" s="4"/>
      <c r="C216" s="4"/>
      <c r="D216" s="4"/>
      <c r="E216" s="4"/>
      <c r="F216" s="26"/>
      <c r="G216" s="26"/>
      <c r="H216" s="26"/>
      <c r="I216" s="26"/>
      <c r="J216" s="26"/>
      <c r="K216" s="4"/>
      <c r="L216" s="4"/>
      <c r="M216" s="4"/>
      <c r="N216" s="4"/>
      <c r="O216" s="4"/>
      <c r="P216" s="4"/>
      <c r="Q216" s="4"/>
      <c r="R216" s="4"/>
      <c r="S216" s="4"/>
      <c r="T216" s="4"/>
      <c r="U216" s="4"/>
      <c r="V216" s="4"/>
      <c r="W216" s="4"/>
      <c r="X216" s="4"/>
    </row>
    <row r="217" spans="2:24">
      <c r="B217" s="4"/>
      <c r="C217" s="4"/>
      <c r="D217" s="4"/>
      <c r="E217" s="4"/>
      <c r="F217" s="26"/>
      <c r="G217" s="26"/>
      <c r="H217" s="26"/>
      <c r="I217" s="26"/>
      <c r="J217" s="26"/>
      <c r="K217" s="4"/>
      <c r="L217" s="4"/>
      <c r="M217" s="4"/>
      <c r="N217" s="4"/>
      <c r="O217" s="4"/>
      <c r="P217" s="4"/>
      <c r="Q217" s="4"/>
      <c r="R217" s="4"/>
      <c r="S217" s="4"/>
      <c r="T217" s="4"/>
      <c r="U217" s="4"/>
      <c r="V217" s="4"/>
      <c r="W217" s="4"/>
      <c r="X217" s="4"/>
    </row>
    <row r="218" spans="2:24">
      <c r="B218" s="4"/>
      <c r="C218" s="4"/>
      <c r="D218" s="4"/>
      <c r="E218" s="4"/>
      <c r="F218" s="26"/>
      <c r="G218" s="26"/>
      <c r="H218" s="26"/>
      <c r="I218" s="26"/>
      <c r="J218" s="26"/>
      <c r="K218" s="4"/>
      <c r="L218" s="4"/>
      <c r="M218" s="4"/>
      <c r="N218" s="4"/>
      <c r="O218" s="4"/>
      <c r="P218" s="4"/>
      <c r="Q218" s="4"/>
      <c r="R218" s="4"/>
      <c r="S218" s="4"/>
      <c r="T218" s="4"/>
      <c r="U218" s="4"/>
      <c r="V218" s="4"/>
      <c r="W218" s="4"/>
      <c r="X218" s="4"/>
    </row>
    <row r="219" spans="2:24">
      <c r="B219" s="4"/>
      <c r="C219" s="4"/>
      <c r="D219" s="4"/>
      <c r="E219" s="4"/>
      <c r="F219" s="26"/>
      <c r="G219" s="26"/>
      <c r="H219" s="26"/>
      <c r="I219" s="26"/>
      <c r="J219" s="26"/>
      <c r="K219" s="4"/>
      <c r="L219" s="4"/>
      <c r="M219" s="4"/>
      <c r="N219" s="4"/>
      <c r="O219" s="4"/>
      <c r="P219" s="4"/>
      <c r="Q219" s="4"/>
      <c r="R219" s="4"/>
      <c r="S219" s="4"/>
      <c r="T219" s="4"/>
      <c r="U219" s="4"/>
      <c r="V219" s="4"/>
      <c r="W219" s="4"/>
      <c r="X219" s="4"/>
    </row>
    <row r="220" spans="2:24">
      <c r="B220" s="4"/>
      <c r="C220" s="4"/>
      <c r="D220" s="4"/>
      <c r="E220" s="4"/>
      <c r="F220" s="26"/>
      <c r="G220" s="26"/>
      <c r="H220" s="26"/>
      <c r="I220" s="26"/>
      <c r="J220" s="26"/>
      <c r="K220" s="4"/>
      <c r="L220" s="4"/>
      <c r="M220" s="4"/>
      <c r="N220" s="4"/>
      <c r="O220" s="4"/>
      <c r="P220" s="4"/>
      <c r="Q220" s="4"/>
      <c r="R220" s="4"/>
      <c r="S220" s="4"/>
      <c r="T220" s="4"/>
      <c r="U220" s="4"/>
      <c r="V220" s="4"/>
      <c r="W220" s="4"/>
      <c r="X220" s="4"/>
    </row>
    <row r="221" spans="2:24">
      <c r="B221" s="4"/>
      <c r="C221" s="4"/>
      <c r="D221" s="4"/>
      <c r="E221" s="4"/>
      <c r="F221" s="26"/>
      <c r="G221" s="26"/>
      <c r="H221" s="26"/>
      <c r="I221" s="26"/>
      <c r="J221" s="26"/>
      <c r="K221" s="4"/>
      <c r="L221" s="4"/>
      <c r="M221" s="4"/>
      <c r="N221" s="4"/>
      <c r="O221" s="4"/>
      <c r="P221" s="4"/>
      <c r="Q221" s="4"/>
      <c r="R221" s="4"/>
      <c r="S221" s="4"/>
      <c r="T221" s="4"/>
      <c r="U221" s="4"/>
      <c r="V221" s="4"/>
      <c r="W221" s="4"/>
      <c r="X221" s="4"/>
    </row>
    <row r="222" spans="2:24">
      <c r="B222" s="4"/>
      <c r="C222" s="4"/>
      <c r="D222" s="4"/>
      <c r="E222" s="4"/>
      <c r="F222" s="26"/>
      <c r="G222" s="26"/>
      <c r="H222" s="26"/>
      <c r="I222" s="26"/>
      <c r="J222" s="26"/>
      <c r="K222" s="4"/>
      <c r="L222" s="4"/>
      <c r="M222" s="4"/>
      <c r="N222" s="4"/>
      <c r="O222" s="4"/>
      <c r="P222" s="4"/>
      <c r="Q222" s="4"/>
      <c r="R222" s="4"/>
      <c r="S222" s="4"/>
      <c r="T222" s="4"/>
      <c r="U222" s="4"/>
      <c r="V222" s="4"/>
      <c r="W222" s="4"/>
      <c r="X222" s="4"/>
    </row>
    <row r="223" spans="2:24">
      <c r="B223" s="4"/>
      <c r="C223" s="4"/>
      <c r="D223" s="4"/>
      <c r="E223" s="4"/>
      <c r="F223" s="26"/>
      <c r="G223" s="26"/>
      <c r="H223" s="26"/>
      <c r="I223" s="26"/>
      <c r="J223" s="26"/>
      <c r="K223" s="4"/>
      <c r="L223" s="4"/>
      <c r="M223" s="4"/>
      <c r="N223" s="4"/>
      <c r="O223" s="4"/>
      <c r="P223" s="4"/>
      <c r="Q223" s="4"/>
      <c r="R223" s="4"/>
      <c r="S223" s="4"/>
      <c r="T223" s="4"/>
      <c r="U223" s="4"/>
      <c r="V223" s="4"/>
      <c r="W223" s="4"/>
      <c r="X223" s="4"/>
    </row>
    <row r="224" spans="2:24">
      <c r="B224" s="4"/>
      <c r="C224" s="4"/>
      <c r="D224" s="4"/>
      <c r="E224" s="4"/>
      <c r="F224" s="26"/>
      <c r="G224" s="26"/>
      <c r="H224" s="26"/>
      <c r="I224" s="26"/>
      <c r="J224" s="26"/>
      <c r="K224" s="4"/>
      <c r="L224" s="4"/>
      <c r="M224" s="4"/>
      <c r="N224" s="4"/>
      <c r="O224" s="4"/>
      <c r="P224" s="4"/>
      <c r="Q224" s="4"/>
      <c r="R224" s="4"/>
      <c r="S224" s="4"/>
      <c r="T224" s="4"/>
      <c r="U224" s="4"/>
      <c r="V224" s="4"/>
      <c r="W224" s="4"/>
      <c r="X224" s="4"/>
    </row>
    <row r="225" spans="2:24">
      <c r="B225" s="4"/>
      <c r="C225" s="4"/>
      <c r="D225" s="4"/>
      <c r="E225" s="4"/>
      <c r="F225" s="26"/>
      <c r="G225" s="26"/>
      <c r="H225" s="26"/>
      <c r="I225" s="26"/>
      <c r="J225" s="26"/>
      <c r="K225" s="4"/>
      <c r="L225" s="4"/>
      <c r="M225" s="4"/>
      <c r="N225" s="4"/>
      <c r="O225" s="4"/>
      <c r="P225" s="4"/>
      <c r="Q225" s="4"/>
      <c r="R225" s="4"/>
      <c r="S225" s="4"/>
      <c r="T225" s="4"/>
      <c r="U225" s="4"/>
      <c r="V225" s="4"/>
      <c r="W225" s="4"/>
      <c r="X225" s="4"/>
    </row>
    <row r="226" spans="2:24">
      <c r="B226" s="4"/>
      <c r="C226" s="4"/>
      <c r="D226" s="4"/>
      <c r="E226" s="4"/>
      <c r="F226" s="26"/>
      <c r="G226" s="26"/>
      <c r="H226" s="26"/>
      <c r="I226" s="26"/>
      <c r="J226" s="26"/>
      <c r="K226" s="4"/>
      <c r="L226" s="4"/>
      <c r="M226" s="4"/>
      <c r="N226" s="4"/>
      <c r="O226" s="4"/>
      <c r="P226" s="4"/>
      <c r="Q226" s="4"/>
      <c r="R226" s="4"/>
      <c r="S226" s="4"/>
      <c r="T226" s="4"/>
      <c r="U226" s="4"/>
      <c r="V226" s="4"/>
      <c r="W226" s="4"/>
      <c r="X226" s="4"/>
    </row>
    <row r="227" spans="2:24">
      <c r="B227" s="4"/>
      <c r="C227" s="4"/>
      <c r="D227" s="4"/>
      <c r="E227" s="4"/>
      <c r="F227" s="26"/>
      <c r="G227" s="26"/>
      <c r="H227" s="26"/>
      <c r="I227" s="26"/>
      <c r="J227" s="26"/>
      <c r="K227" s="4"/>
      <c r="L227" s="4"/>
      <c r="M227" s="4"/>
      <c r="N227" s="4"/>
      <c r="O227" s="4"/>
      <c r="P227" s="4"/>
      <c r="Q227" s="4"/>
      <c r="R227" s="4"/>
      <c r="S227" s="4"/>
      <c r="T227" s="4"/>
      <c r="U227" s="4"/>
      <c r="V227" s="4"/>
      <c r="W227" s="4"/>
      <c r="X227" s="4"/>
    </row>
    <row r="228" spans="2:24">
      <c r="B228" s="4"/>
      <c r="C228" s="4"/>
      <c r="D228" s="4"/>
      <c r="E228" s="4"/>
      <c r="F228" s="26"/>
      <c r="G228" s="26"/>
      <c r="H228" s="26"/>
      <c r="I228" s="26"/>
      <c r="J228" s="26"/>
      <c r="K228" s="4"/>
      <c r="L228" s="4"/>
      <c r="M228" s="4"/>
      <c r="N228" s="4"/>
      <c r="O228" s="4"/>
      <c r="P228" s="4"/>
      <c r="Q228" s="4"/>
      <c r="R228" s="4"/>
      <c r="S228" s="4"/>
      <c r="T228" s="4"/>
      <c r="U228" s="4"/>
      <c r="V228" s="4"/>
      <c r="W228" s="4"/>
      <c r="X228" s="4"/>
    </row>
    <row r="229" spans="2:24">
      <c r="B229" s="4"/>
      <c r="C229" s="4"/>
      <c r="D229" s="4"/>
      <c r="E229" s="4"/>
      <c r="F229" s="26"/>
      <c r="G229" s="26"/>
      <c r="H229" s="26"/>
      <c r="I229" s="26"/>
      <c r="J229" s="26"/>
      <c r="K229" s="4"/>
      <c r="L229" s="4"/>
      <c r="M229" s="4"/>
      <c r="N229" s="4"/>
      <c r="O229" s="4"/>
      <c r="P229" s="4"/>
      <c r="Q229" s="4"/>
      <c r="R229" s="4"/>
      <c r="S229" s="4"/>
      <c r="T229" s="4"/>
      <c r="U229" s="4"/>
      <c r="V229" s="4"/>
      <c r="W229" s="4"/>
      <c r="X229" s="4"/>
    </row>
    <row r="230" spans="2:24">
      <c r="B230" s="4"/>
      <c r="C230" s="4"/>
      <c r="D230" s="4"/>
      <c r="E230" s="4"/>
      <c r="F230" s="26"/>
      <c r="G230" s="26"/>
      <c r="H230" s="26"/>
      <c r="I230" s="26"/>
      <c r="J230" s="26"/>
      <c r="K230" s="4"/>
      <c r="L230" s="4"/>
      <c r="M230" s="4"/>
      <c r="N230" s="4"/>
      <c r="O230" s="4"/>
      <c r="P230" s="4"/>
      <c r="Q230" s="4"/>
      <c r="R230" s="4"/>
      <c r="S230" s="4"/>
      <c r="T230" s="4"/>
      <c r="U230" s="4"/>
      <c r="V230" s="4"/>
      <c r="W230" s="4"/>
      <c r="X230" s="4"/>
    </row>
    <row r="231" spans="2:24">
      <c r="B231" s="4"/>
      <c r="C231" s="4"/>
      <c r="D231" s="4"/>
      <c r="E231" s="4"/>
      <c r="F231" s="26"/>
      <c r="G231" s="26"/>
      <c r="H231" s="26"/>
      <c r="I231" s="26"/>
      <c r="J231" s="26"/>
      <c r="K231" s="4"/>
      <c r="L231" s="4"/>
      <c r="M231" s="4"/>
      <c r="N231" s="4"/>
      <c r="O231" s="4"/>
      <c r="P231" s="4"/>
      <c r="Q231" s="4"/>
      <c r="R231" s="4"/>
      <c r="S231" s="4"/>
      <c r="T231" s="4"/>
      <c r="U231" s="4"/>
      <c r="V231" s="4"/>
      <c r="W231" s="4"/>
      <c r="X231" s="4"/>
    </row>
    <row r="232" spans="2:24">
      <c r="B232" s="4"/>
      <c r="C232" s="4"/>
      <c r="D232" s="4"/>
      <c r="E232" s="4"/>
      <c r="F232" s="26"/>
      <c r="G232" s="26"/>
      <c r="H232" s="26"/>
      <c r="I232" s="26"/>
      <c r="J232" s="26"/>
      <c r="K232" s="4"/>
      <c r="L232" s="4"/>
      <c r="M232" s="4"/>
      <c r="N232" s="4"/>
      <c r="O232" s="4"/>
      <c r="P232" s="4"/>
      <c r="Q232" s="4"/>
      <c r="R232" s="4"/>
      <c r="S232" s="4"/>
      <c r="T232" s="4"/>
      <c r="U232" s="4"/>
      <c r="V232" s="4"/>
      <c r="W232" s="4"/>
      <c r="X232" s="4"/>
    </row>
    <row r="233" spans="2:24">
      <c r="B233" s="4"/>
      <c r="C233" s="4"/>
      <c r="D233" s="4"/>
      <c r="E233" s="4"/>
      <c r="F233" s="26"/>
      <c r="G233" s="26"/>
      <c r="H233" s="26"/>
      <c r="I233" s="26"/>
      <c r="J233" s="26"/>
      <c r="K233" s="4"/>
      <c r="L233" s="4"/>
      <c r="M233" s="4"/>
      <c r="N233" s="4"/>
      <c r="O233" s="4"/>
      <c r="P233" s="4"/>
      <c r="Q233" s="4"/>
      <c r="R233" s="4"/>
      <c r="S233" s="4"/>
      <c r="T233" s="4"/>
      <c r="U233" s="4"/>
      <c r="V233" s="4"/>
      <c r="W233" s="4"/>
      <c r="X233" s="4"/>
    </row>
    <row r="234" spans="2:24">
      <c r="B234" s="4"/>
      <c r="C234" s="4"/>
      <c r="D234" s="4"/>
      <c r="E234" s="4"/>
      <c r="F234" s="26"/>
      <c r="G234" s="26"/>
      <c r="H234" s="26"/>
      <c r="I234" s="26"/>
      <c r="J234" s="26"/>
      <c r="K234" s="4"/>
      <c r="L234" s="4"/>
      <c r="M234" s="4"/>
      <c r="N234" s="4"/>
      <c r="O234" s="4"/>
      <c r="P234" s="4"/>
      <c r="Q234" s="4"/>
      <c r="R234" s="4"/>
      <c r="S234" s="4"/>
      <c r="T234" s="4"/>
      <c r="U234" s="4"/>
      <c r="V234" s="4"/>
      <c r="W234" s="4"/>
      <c r="X234" s="4"/>
    </row>
    <row r="235" spans="2:24">
      <c r="B235" s="4"/>
      <c r="C235" s="4"/>
      <c r="D235" s="4"/>
      <c r="E235" s="4"/>
      <c r="F235" s="26"/>
      <c r="G235" s="26"/>
      <c r="H235" s="26"/>
      <c r="I235" s="26"/>
      <c r="J235" s="26"/>
      <c r="K235" s="4"/>
      <c r="L235" s="4"/>
      <c r="M235" s="4"/>
      <c r="N235" s="4"/>
      <c r="O235" s="4"/>
      <c r="P235" s="4"/>
      <c r="Q235" s="4"/>
      <c r="R235" s="4"/>
      <c r="S235" s="4"/>
      <c r="T235" s="4"/>
      <c r="U235" s="4"/>
      <c r="V235" s="4"/>
      <c r="W235" s="4"/>
      <c r="X235" s="4"/>
    </row>
    <row r="236" spans="2:24">
      <c r="B236" s="4"/>
      <c r="C236" s="4"/>
      <c r="D236" s="4"/>
      <c r="E236" s="4"/>
      <c r="F236" s="26"/>
      <c r="G236" s="26"/>
      <c r="H236" s="26"/>
      <c r="I236" s="26"/>
      <c r="J236" s="26"/>
      <c r="K236" s="4"/>
      <c r="L236" s="4"/>
      <c r="M236" s="4"/>
      <c r="N236" s="4"/>
      <c r="O236" s="4"/>
      <c r="P236" s="4"/>
      <c r="Q236" s="4"/>
      <c r="R236" s="4"/>
      <c r="S236" s="4"/>
      <c r="T236" s="4"/>
      <c r="U236" s="4"/>
      <c r="V236" s="4"/>
      <c r="W236" s="4"/>
      <c r="X236" s="4"/>
    </row>
    <row r="237" spans="2:24">
      <c r="B237" s="4"/>
      <c r="C237" s="4"/>
      <c r="D237" s="4"/>
      <c r="E237" s="4"/>
      <c r="F237" s="26"/>
      <c r="G237" s="26"/>
      <c r="H237" s="26"/>
      <c r="I237" s="26"/>
      <c r="J237" s="26"/>
      <c r="K237" s="4"/>
      <c r="L237" s="4"/>
      <c r="M237" s="4"/>
      <c r="N237" s="4"/>
      <c r="O237" s="4"/>
      <c r="P237" s="4"/>
      <c r="Q237" s="4"/>
      <c r="R237" s="4"/>
      <c r="S237" s="4"/>
      <c r="T237" s="4"/>
      <c r="U237" s="4"/>
      <c r="V237" s="4"/>
      <c r="W237" s="4"/>
      <c r="X237" s="4"/>
    </row>
    <row r="238" spans="2:24">
      <c r="B238" s="4"/>
      <c r="C238" s="4"/>
      <c r="D238" s="4"/>
      <c r="E238" s="4"/>
      <c r="F238" s="26"/>
      <c r="G238" s="26"/>
      <c r="H238" s="26"/>
      <c r="I238" s="26"/>
      <c r="J238" s="26"/>
      <c r="K238" s="4"/>
      <c r="L238" s="4"/>
      <c r="M238" s="4"/>
      <c r="N238" s="4"/>
      <c r="O238" s="4"/>
      <c r="P238" s="4"/>
      <c r="Q238" s="4"/>
      <c r="R238" s="4"/>
      <c r="S238" s="4"/>
      <c r="T238" s="4"/>
      <c r="U238" s="4"/>
      <c r="V238" s="4"/>
      <c r="W238" s="4"/>
      <c r="X238" s="4"/>
    </row>
    <row r="239" spans="2:24">
      <c r="B239" s="4"/>
      <c r="C239" s="4"/>
      <c r="D239" s="4"/>
      <c r="E239" s="4"/>
      <c r="F239" s="26"/>
      <c r="G239" s="26"/>
      <c r="H239" s="26"/>
      <c r="I239" s="26"/>
      <c r="J239" s="26"/>
      <c r="K239" s="4"/>
      <c r="L239" s="4"/>
      <c r="M239" s="4"/>
      <c r="N239" s="4"/>
      <c r="O239" s="4"/>
      <c r="P239" s="4"/>
      <c r="Q239" s="4"/>
      <c r="R239" s="4"/>
      <c r="S239" s="4"/>
      <c r="T239" s="4"/>
      <c r="U239" s="4"/>
      <c r="V239" s="4"/>
      <c r="W239" s="4"/>
      <c r="X239" s="4"/>
    </row>
    <row r="240" spans="2:24">
      <c r="B240" s="4"/>
      <c r="C240" s="4"/>
      <c r="D240" s="4"/>
      <c r="E240" s="4"/>
      <c r="F240" s="26"/>
      <c r="G240" s="26"/>
      <c r="H240" s="26"/>
      <c r="I240" s="26"/>
      <c r="J240" s="26"/>
      <c r="K240" s="4"/>
      <c r="L240" s="4"/>
      <c r="M240" s="4"/>
      <c r="N240" s="4"/>
      <c r="O240" s="4"/>
      <c r="P240" s="4"/>
      <c r="Q240" s="4"/>
      <c r="R240" s="4"/>
      <c r="S240" s="4"/>
      <c r="T240" s="4"/>
      <c r="U240" s="4"/>
      <c r="V240" s="4"/>
      <c r="W240" s="4"/>
      <c r="X240" s="4"/>
    </row>
    <row r="241" spans="2:24">
      <c r="B241" s="4"/>
      <c r="C241" s="4"/>
      <c r="D241" s="4"/>
      <c r="E241" s="4"/>
      <c r="F241" s="26"/>
      <c r="G241" s="26"/>
      <c r="H241" s="26"/>
      <c r="I241" s="26"/>
      <c r="J241" s="26"/>
      <c r="K241" s="4"/>
      <c r="L241" s="4"/>
      <c r="M241" s="4"/>
      <c r="N241" s="4"/>
      <c r="O241" s="4"/>
      <c r="P241" s="4"/>
      <c r="Q241" s="4"/>
      <c r="R241" s="4"/>
      <c r="S241" s="4"/>
      <c r="T241" s="4"/>
      <c r="U241" s="4"/>
      <c r="V241" s="4"/>
      <c r="W241" s="4"/>
      <c r="X241" s="4"/>
    </row>
    <row r="242" spans="2:24">
      <c r="B242" s="4"/>
      <c r="C242" s="4"/>
      <c r="D242" s="4"/>
      <c r="E242" s="4"/>
      <c r="F242" s="26"/>
      <c r="G242" s="26"/>
      <c r="H242" s="26"/>
      <c r="I242" s="26"/>
      <c r="J242" s="26"/>
      <c r="K242" s="4"/>
      <c r="L242" s="4"/>
      <c r="M242" s="4"/>
      <c r="N242" s="4"/>
      <c r="O242" s="4"/>
      <c r="P242" s="4"/>
      <c r="Q242" s="4"/>
      <c r="R242" s="4"/>
      <c r="S242" s="4"/>
      <c r="T242" s="4"/>
      <c r="U242" s="4"/>
      <c r="V242" s="4"/>
      <c r="W242" s="4"/>
      <c r="X242" s="4"/>
    </row>
    <row r="243" spans="2:24">
      <c r="B243" s="4"/>
      <c r="C243" s="4"/>
      <c r="D243" s="4"/>
      <c r="E243" s="4"/>
      <c r="F243" s="26"/>
      <c r="G243" s="26"/>
      <c r="H243" s="26"/>
      <c r="I243" s="26"/>
      <c r="J243" s="26"/>
      <c r="K243" s="4"/>
      <c r="L243" s="4"/>
      <c r="M243" s="4"/>
      <c r="N243" s="4"/>
      <c r="O243" s="4"/>
      <c r="P243" s="4"/>
      <c r="Q243" s="4"/>
      <c r="R243" s="4"/>
      <c r="S243" s="4"/>
      <c r="T243" s="4"/>
      <c r="U243" s="4"/>
      <c r="V243" s="4"/>
      <c r="W243" s="4"/>
      <c r="X243" s="4"/>
    </row>
    <row r="244" spans="2:24">
      <c r="B244" s="4"/>
      <c r="C244" s="4"/>
      <c r="D244" s="4"/>
      <c r="E244" s="4"/>
      <c r="F244" s="26"/>
      <c r="G244" s="26"/>
      <c r="H244" s="26"/>
      <c r="I244" s="26"/>
      <c r="J244" s="26"/>
      <c r="K244" s="4"/>
      <c r="L244" s="4"/>
      <c r="M244" s="4"/>
      <c r="N244" s="4"/>
      <c r="O244" s="4"/>
      <c r="P244" s="4"/>
      <c r="Q244" s="4"/>
      <c r="R244" s="4"/>
      <c r="S244" s="4"/>
      <c r="T244" s="4"/>
      <c r="U244" s="4"/>
      <c r="V244" s="4"/>
      <c r="W244" s="4"/>
      <c r="X244" s="4"/>
    </row>
    <row r="245" spans="2:24">
      <c r="B245" s="4"/>
      <c r="C245" s="4"/>
      <c r="D245" s="4"/>
      <c r="E245" s="4"/>
      <c r="F245" s="26"/>
      <c r="G245" s="26"/>
      <c r="H245" s="26"/>
      <c r="I245" s="26"/>
      <c r="J245" s="26"/>
      <c r="K245" s="4"/>
      <c r="L245" s="4"/>
      <c r="M245" s="4"/>
      <c r="N245" s="4"/>
      <c r="O245" s="4"/>
      <c r="P245" s="4"/>
      <c r="Q245" s="4"/>
      <c r="R245" s="4"/>
      <c r="S245" s="4"/>
      <c r="T245" s="4"/>
      <c r="U245" s="4"/>
      <c r="V245" s="4"/>
      <c r="W245" s="4"/>
      <c r="X245" s="4"/>
    </row>
    <row r="246" spans="2:24">
      <c r="B246" s="4"/>
      <c r="C246" s="4"/>
      <c r="D246" s="4"/>
      <c r="E246" s="4"/>
      <c r="F246" s="26"/>
      <c r="G246" s="26"/>
      <c r="H246" s="26"/>
      <c r="I246" s="26"/>
      <c r="J246" s="26"/>
      <c r="K246" s="4"/>
      <c r="L246" s="4"/>
      <c r="M246" s="4"/>
      <c r="N246" s="4"/>
      <c r="O246" s="4"/>
      <c r="P246" s="4"/>
      <c r="Q246" s="4"/>
      <c r="R246" s="4"/>
      <c r="S246" s="4"/>
      <c r="T246" s="4"/>
      <c r="U246" s="4"/>
      <c r="V246" s="4"/>
      <c r="W246" s="4"/>
      <c r="X246" s="4"/>
    </row>
    <row r="247" spans="2:24">
      <c r="B247" s="4"/>
      <c r="C247" s="4"/>
      <c r="D247" s="4"/>
      <c r="E247" s="4"/>
      <c r="F247" s="26"/>
      <c r="G247" s="26"/>
      <c r="H247" s="26"/>
      <c r="I247" s="26"/>
      <c r="J247" s="26"/>
      <c r="K247" s="4"/>
      <c r="L247" s="4"/>
      <c r="M247" s="4"/>
      <c r="N247" s="4"/>
      <c r="O247" s="4"/>
      <c r="P247" s="4"/>
      <c r="Q247" s="4"/>
      <c r="R247" s="4"/>
      <c r="S247" s="4"/>
      <c r="T247" s="4"/>
      <c r="U247" s="4"/>
      <c r="V247" s="4"/>
      <c r="W247" s="4"/>
      <c r="X247" s="4"/>
    </row>
    <row r="248" spans="2:24">
      <c r="B248" s="4"/>
      <c r="C248" s="4"/>
      <c r="D248" s="4"/>
      <c r="E248" s="4"/>
      <c r="F248" s="26"/>
      <c r="G248" s="26"/>
      <c r="H248" s="26"/>
      <c r="I248" s="26"/>
      <c r="J248" s="26"/>
      <c r="K248" s="4"/>
      <c r="L248" s="4"/>
      <c r="M248" s="4"/>
      <c r="N248" s="4"/>
      <c r="O248" s="4"/>
      <c r="P248" s="4"/>
      <c r="Q248" s="4"/>
      <c r="R248" s="4"/>
      <c r="S248" s="4"/>
      <c r="T248" s="4"/>
      <c r="U248" s="4"/>
      <c r="V248" s="4"/>
      <c r="W248" s="4"/>
      <c r="X248" s="4"/>
    </row>
    <row r="249" spans="2:24">
      <c r="B249" s="4"/>
      <c r="C249" s="4"/>
      <c r="D249" s="4"/>
      <c r="E249" s="4"/>
      <c r="F249" s="26"/>
      <c r="G249" s="26"/>
      <c r="H249" s="26"/>
      <c r="I249" s="26"/>
      <c r="J249" s="26"/>
      <c r="K249" s="4"/>
      <c r="L249" s="4"/>
      <c r="M249" s="4"/>
      <c r="N249" s="4"/>
      <c r="O249" s="4"/>
      <c r="P249" s="4"/>
      <c r="Q249" s="4"/>
      <c r="R249" s="4"/>
      <c r="S249" s="4"/>
      <c r="T249" s="4"/>
      <c r="U249" s="4"/>
      <c r="V249" s="4"/>
      <c r="W249" s="4"/>
      <c r="X249" s="4"/>
    </row>
    <row r="250" spans="2:24">
      <c r="B250" s="4"/>
      <c r="C250" s="4"/>
      <c r="D250" s="4"/>
      <c r="E250" s="4"/>
      <c r="F250" s="26"/>
      <c r="G250" s="26"/>
      <c r="H250" s="26"/>
      <c r="I250" s="26"/>
      <c r="J250" s="26"/>
      <c r="K250" s="4"/>
      <c r="L250" s="4"/>
      <c r="M250" s="4"/>
      <c r="N250" s="4"/>
      <c r="O250" s="4"/>
      <c r="P250" s="4"/>
      <c r="Q250" s="4"/>
      <c r="R250" s="4"/>
      <c r="S250" s="4"/>
      <c r="T250" s="4"/>
      <c r="U250" s="4"/>
      <c r="V250" s="4"/>
      <c r="W250" s="4"/>
      <c r="X250" s="4"/>
    </row>
    <row r="251" spans="2:24">
      <c r="B251" s="4"/>
      <c r="C251" s="4"/>
      <c r="D251" s="4"/>
      <c r="E251" s="4"/>
      <c r="F251" s="26"/>
      <c r="G251" s="26"/>
      <c r="H251" s="26"/>
      <c r="I251" s="26"/>
      <c r="J251" s="26"/>
      <c r="K251" s="4"/>
      <c r="L251" s="4"/>
      <c r="M251" s="4"/>
      <c r="N251" s="4"/>
      <c r="O251" s="4"/>
      <c r="P251" s="4"/>
      <c r="Q251" s="4"/>
      <c r="R251" s="4"/>
      <c r="S251" s="4"/>
      <c r="T251" s="4"/>
      <c r="U251" s="4"/>
      <c r="V251" s="4"/>
      <c r="W251" s="4"/>
      <c r="X251" s="4"/>
    </row>
    <row r="252" spans="2:24">
      <c r="B252" s="4"/>
      <c r="C252" s="4"/>
      <c r="D252" s="4"/>
      <c r="E252" s="4"/>
      <c r="F252" s="26"/>
      <c r="G252" s="26"/>
      <c r="H252" s="26"/>
      <c r="I252" s="26"/>
      <c r="J252" s="26"/>
      <c r="K252" s="4"/>
      <c r="L252" s="4"/>
      <c r="M252" s="4"/>
      <c r="N252" s="4"/>
      <c r="O252" s="4"/>
      <c r="P252" s="4"/>
      <c r="Q252" s="4"/>
      <c r="R252" s="4"/>
      <c r="S252" s="4"/>
      <c r="T252" s="4"/>
      <c r="U252" s="4"/>
      <c r="V252" s="4"/>
      <c r="W252" s="4"/>
      <c r="X252" s="4"/>
    </row>
    <row r="253" spans="2:24">
      <c r="B253" s="4"/>
      <c r="C253" s="4"/>
      <c r="D253" s="4"/>
      <c r="E253" s="4"/>
      <c r="F253" s="26"/>
      <c r="G253" s="26"/>
      <c r="H253" s="26"/>
      <c r="I253" s="26"/>
      <c r="J253" s="26"/>
      <c r="K253" s="4"/>
      <c r="L253" s="4"/>
      <c r="M253" s="4"/>
      <c r="N253" s="4"/>
      <c r="O253" s="4"/>
      <c r="P253" s="4"/>
      <c r="Q253" s="4"/>
      <c r="R253" s="4"/>
      <c r="S253" s="4"/>
      <c r="T253" s="4"/>
      <c r="U253" s="4"/>
      <c r="V253" s="4"/>
      <c r="W253" s="4"/>
      <c r="X253" s="4"/>
    </row>
    <row r="254" spans="2:24">
      <c r="B254" s="4"/>
      <c r="C254" s="4"/>
      <c r="D254" s="4"/>
      <c r="E254" s="4"/>
      <c r="F254" s="26"/>
      <c r="G254" s="26"/>
      <c r="H254" s="26"/>
      <c r="I254" s="26"/>
      <c r="J254" s="26"/>
      <c r="K254" s="4"/>
      <c r="L254" s="4"/>
      <c r="M254" s="4"/>
      <c r="N254" s="4"/>
      <c r="O254" s="4"/>
      <c r="P254" s="4"/>
      <c r="Q254" s="4"/>
      <c r="R254" s="4"/>
      <c r="S254" s="4"/>
      <c r="T254" s="4"/>
      <c r="U254" s="4"/>
      <c r="V254" s="4"/>
      <c r="W254" s="4"/>
      <c r="X254" s="4"/>
    </row>
    <row r="255" spans="2:24">
      <c r="B255" s="4"/>
      <c r="C255" s="4"/>
      <c r="D255" s="4"/>
      <c r="E255" s="4"/>
      <c r="F255" s="26"/>
      <c r="G255" s="26"/>
      <c r="H255" s="26"/>
      <c r="I255" s="26"/>
      <c r="J255" s="26"/>
      <c r="K255" s="4"/>
      <c r="L255" s="4"/>
      <c r="M255" s="4"/>
      <c r="N255" s="4"/>
      <c r="O255" s="4"/>
      <c r="P255" s="4"/>
      <c r="Q255" s="4"/>
      <c r="R255" s="4"/>
      <c r="S255" s="4"/>
      <c r="T255" s="4"/>
      <c r="U255" s="4"/>
      <c r="V255" s="4"/>
      <c r="W255" s="4"/>
      <c r="X255" s="4"/>
    </row>
    <row r="256" spans="2:24">
      <c r="B256" s="4"/>
      <c r="C256" s="4"/>
      <c r="D256" s="4"/>
      <c r="E256" s="4"/>
      <c r="F256" s="26"/>
      <c r="G256" s="26"/>
      <c r="H256" s="26"/>
      <c r="I256" s="26"/>
      <c r="J256" s="26"/>
      <c r="K256" s="4"/>
      <c r="L256" s="4"/>
      <c r="M256" s="4"/>
      <c r="N256" s="4"/>
      <c r="O256" s="4"/>
      <c r="P256" s="4"/>
      <c r="Q256" s="4"/>
      <c r="R256" s="4"/>
      <c r="S256" s="4"/>
      <c r="T256" s="4"/>
      <c r="U256" s="4"/>
      <c r="V256" s="4"/>
      <c r="W256" s="4"/>
      <c r="X256" s="4"/>
    </row>
    <row r="257" spans="2:24">
      <c r="B257" s="4"/>
      <c r="C257" s="4"/>
      <c r="D257" s="4"/>
      <c r="E257" s="4"/>
      <c r="F257" s="26"/>
      <c r="G257" s="26"/>
      <c r="H257" s="26"/>
      <c r="I257" s="26"/>
      <c r="J257" s="26"/>
      <c r="K257" s="4"/>
      <c r="L257" s="4"/>
      <c r="M257" s="4"/>
      <c r="N257" s="4"/>
      <c r="O257" s="4"/>
      <c r="P257" s="4"/>
      <c r="Q257" s="4"/>
      <c r="R257" s="4"/>
      <c r="S257" s="4"/>
      <c r="T257" s="4"/>
      <c r="U257" s="4"/>
      <c r="V257" s="4"/>
      <c r="W257" s="4"/>
      <c r="X257" s="4"/>
    </row>
  </sheetData>
  <mergeCells count="31">
    <mergeCell ref="C64:J64"/>
    <mergeCell ref="C66:J66"/>
    <mergeCell ref="C67:J67"/>
    <mergeCell ref="C68:J68"/>
    <mergeCell ref="B43:C43"/>
    <mergeCell ref="B44:C44"/>
    <mergeCell ref="B45:C45"/>
    <mergeCell ref="B48:C48"/>
    <mergeCell ref="B57:B58"/>
    <mergeCell ref="C57:J57"/>
    <mergeCell ref="C58:J58"/>
    <mergeCell ref="B38:C38"/>
    <mergeCell ref="B27:C27"/>
    <mergeCell ref="B28:C28"/>
    <mergeCell ref="B29:C29"/>
    <mergeCell ref="B30:C30"/>
    <mergeCell ref="B31:C31"/>
    <mergeCell ref="B32:C32"/>
    <mergeCell ref="B33:C33"/>
    <mergeCell ref="B34:C34"/>
    <mergeCell ref="B35:C35"/>
    <mergeCell ref="B36:C36"/>
    <mergeCell ref="B37:C37"/>
    <mergeCell ref="B25:D25"/>
    <mergeCell ref="F25:K26"/>
    <mergeCell ref="B26:C26"/>
    <mergeCell ref="B2:O2"/>
    <mergeCell ref="B5:O5"/>
    <mergeCell ref="B10:O10"/>
    <mergeCell ref="B15:O15"/>
    <mergeCell ref="B20:O20"/>
  </mergeCells>
  <pageMargins left="0.25" right="0.25" top="0.75" bottom="0.75" header="0.3" footer="0.3"/>
  <pageSetup scale="6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2BBA-997C-4406-B7AE-8A7049D36730}">
  <dimension ref="A1:AE123"/>
  <sheetViews>
    <sheetView topLeftCell="E79" workbookViewId="0">
      <selection activeCell="U84" sqref="U84"/>
    </sheetView>
  </sheetViews>
  <sheetFormatPr defaultColWidth="8.7109375" defaultRowHeight="14.45"/>
  <cols>
    <col min="1" max="5" width="2.7109375" style="245" customWidth="1"/>
    <col min="6" max="6" width="31.28515625" style="245" customWidth="1"/>
    <col min="7" max="7" width="10.140625" hidden="1" customWidth="1"/>
    <col min="8" max="8" width="2.140625" hidden="1" customWidth="1"/>
    <col min="9" max="9" width="10.140625" hidden="1" customWidth="1"/>
    <col min="10" max="10" width="2.140625" hidden="1" customWidth="1"/>
    <col min="11" max="20" width="11.140625" hidden="1" customWidth="1"/>
    <col min="21" max="21" width="11.140625" bestFit="1" customWidth="1"/>
    <col min="22" max="22" width="10.7109375" bestFit="1" customWidth="1"/>
    <col min="23" max="23" width="17.42578125" bestFit="1" customWidth="1"/>
  </cols>
  <sheetData>
    <row r="1" spans="1:31">
      <c r="F1" s="245" t="s">
        <v>7</v>
      </c>
    </row>
    <row r="2" spans="1:31">
      <c r="F2" s="245" t="s">
        <v>208</v>
      </c>
    </row>
    <row r="5" spans="1:31">
      <c r="B5" s="245" t="s">
        <v>209</v>
      </c>
      <c r="F5" s="246"/>
      <c r="G5">
        <v>75759.429999999993</v>
      </c>
      <c r="I5" s="247">
        <f>+G100</f>
        <v>-18596.910000000003</v>
      </c>
      <c r="K5" s="247">
        <f>+I100</f>
        <v>-59077.94</v>
      </c>
      <c r="L5" s="247">
        <f>+K100</f>
        <v>-145365.77000000002</v>
      </c>
      <c r="M5" s="247">
        <f>+L100</f>
        <v>-167034.45000000001</v>
      </c>
      <c r="N5" s="247">
        <f t="shared" ref="N5:U5" si="0">+M100</f>
        <v>-143535.49000000002</v>
      </c>
      <c r="O5" s="247">
        <f t="shared" si="0"/>
        <v>-117111.53000000001</v>
      </c>
      <c r="P5" s="247">
        <f t="shared" si="0"/>
        <v>-91948.02</v>
      </c>
      <c r="Q5" s="247">
        <f t="shared" si="0"/>
        <v>-71774.060000000012</v>
      </c>
      <c r="R5" s="247">
        <f t="shared" si="0"/>
        <v>-48475.10000000002</v>
      </c>
      <c r="S5" s="247">
        <f t="shared" si="0"/>
        <v>-29183.130000000019</v>
      </c>
      <c r="T5" s="247">
        <f t="shared" si="0"/>
        <v>-5784.1700000000274</v>
      </c>
      <c r="U5" s="247">
        <f t="shared" si="0"/>
        <v>56941.50999999998</v>
      </c>
    </row>
    <row r="7" spans="1:31" s="251" customFormat="1" ht="15" thickBot="1">
      <c r="A7" s="248"/>
      <c r="B7" s="248"/>
      <c r="C7" s="248"/>
      <c r="D7" s="248"/>
      <c r="E7" s="248"/>
      <c r="F7" s="248"/>
      <c r="G7" s="249" t="s">
        <v>210</v>
      </c>
      <c r="H7" s="250"/>
      <c r="I7" s="249" t="s">
        <v>211</v>
      </c>
      <c r="J7" s="250"/>
      <c r="K7" s="249" t="s">
        <v>212</v>
      </c>
      <c r="L7" s="249" t="s">
        <v>213</v>
      </c>
      <c r="M7" s="249" t="s">
        <v>214</v>
      </c>
      <c r="N7" s="249" t="s">
        <v>215</v>
      </c>
      <c r="O7" s="249" t="s">
        <v>216</v>
      </c>
      <c r="P7" s="249" t="s">
        <v>217</v>
      </c>
      <c r="Q7" s="249" t="s">
        <v>218</v>
      </c>
      <c r="R7" s="249" t="s">
        <v>219</v>
      </c>
      <c r="S7" s="249" t="s">
        <v>220</v>
      </c>
      <c r="T7" s="249" t="s">
        <v>221</v>
      </c>
      <c r="U7" s="249" t="s">
        <v>222</v>
      </c>
    </row>
    <row r="8" spans="1:31" ht="15" thickTop="1">
      <c r="A8" s="252"/>
      <c r="B8" s="252" t="s">
        <v>223</v>
      </c>
      <c r="C8" s="252"/>
      <c r="D8" s="252"/>
      <c r="E8" s="252"/>
      <c r="F8" s="252"/>
      <c r="G8" s="253"/>
      <c r="H8" s="254"/>
      <c r="I8" s="253"/>
      <c r="J8" s="254"/>
      <c r="K8" s="253"/>
      <c r="L8" s="253"/>
      <c r="M8" s="253"/>
      <c r="N8" s="253"/>
      <c r="O8" s="253"/>
      <c r="P8" s="253"/>
      <c r="Q8" s="253"/>
      <c r="R8" s="253"/>
      <c r="S8" s="253"/>
      <c r="T8" s="253"/>
      <c r="U8" s="253"/>
    </row>
    <row r="9" spans="1:31">
      <c r="A9" s="252"/>
      <c r="B9" s="252"/>
      <c r="C9" s="252"/>
      <c r="D9" s="252" t="s">
        <v>224</v>
      </c>
      <c r="E9" s="252"/>
      <c r="F9" s="252"/>
      <c r="G9" s="253"/>
      <c r="H9" s="254"/>
      <c r="I9" s="253"/>
      <c r="J9" s="254"/>
      <c r="K9" s="253"/>
      <c r="L9" s="253"/>
      <c r="M9" s="253"/>
      <c r="N9" s="253"/>
      <c r="O9" s="253"/>
      <c r="P9" s="253"/>
      <c r="Q9" s="253"/>
      <c r="R9" s="253"/>
      <c r="S9" s="253"/>
      <c r="T9" s="253"/>
      <c r="U9" s="253"/>
    </row>
    <row r="10" spans="1:31">
      <c r="A10" s="252"/>
      <c r="B10" s="252"/>
      <c r="C10" s="252"/>
      <c r="D10" s="252"/>
      <c r="E10" s="252" t="s">
        <v>225</v>
      </c>
      <c r="F10" s="252"/>
      <c r="G10" s="253">
        <v>0.83</v>
      </c>
      <c r="H10" s="254"/>
      <c r="I10" s="253">
        <v>0.61</v>
      </c>
      <c r="J10" s="254"/>
      <c r="K10" s="253">
        <v>0</v>
      </c>
      <c r="L10" s="253">
        <v>0</v>
      </c>
      <c r="M10" s="253">
        <v>0</v>
      </c>
      <c r="N10" s="253">
        <v>0</v>
      </c>
      <c r="O10" s="253">
        <v>0</v>
      </c>
      <c r="P10" s="253">
        <v>0</v>
      </c>
      <c r="Q10" s="253">
        <v>0</v>
      </c>
      <c r="R10" s="253">
        <v>0</v>
      </c>
      <c r="S10" s="253">
        <v>0</v>
      </c>
      <c r="T10" s="253">
        <v>10</v>
      </c>
      <c r="U10" s="253">
        <f>ROUND(SUM(G10:T10),5)</f>
        <v>11.44</v>
      </c>
    </row>
    <row r="11" spans="1:31">
      <c r="A11" s="252"/>
      <c r="B11" s="252"/>
      <c r="C11" s="252"/>
      <c r="D11" s="252"/>
      <c r="E11" s="252" t="s">
        <v>226</v>
      </c>
      <c r="F11" s="252"/>
      <c r="G11" s="253"/>
      <c r="H11" s="254"/>
      <c r="I11" s="253"/>
      <c r="J11" s="254"/>
      <c r="K11" s="253"/>
      <c r="L11" s="253"/>
      <c r="M11" s="253"/>
      <c r="N11" s="253"/>
      <c r="O11" s="253"/>
      <c r="P11" s="253"/>
      <c r="Q11" s="253"/>
      <c r="R11" s="253"/>
      <c r="S11" s="253"/>
      <c r="T11" s="253"/>
      <c r="U11" s="253"/>
    </row>
    <row r="12" spans="1:31" ht="15" thickBot="1">
      <c r="A12" s="252"/>
      <c r="B12" s="252"/>
      <c r="C12" s="252"/>
      <c r="D12" s="252"/>
      <c r="E12" s="252"/>
      <c r="F12" s="252" t="s">
        <v>227</v>
      </c>
      <c r="G12" s="255">
        <v>5734.4</v>
      </c>
      <c r="H12" s="254"/>
      <c r="I12" s="255">
        <v>132.69999999999999</v>
      </c>
      <c r="J12" s="254"/>
      <c r="K12" s="255">
        <v>0</v>
      </c>
      <c r="L12" s="255">
        <v>0</v>
      </c>
      <c r="M12" s="255">
        <v>0</v>
      </c>
      <c r="N12" s="255">
        <v>0</v>
      </c>
      <c r="O12" s="255">
        <v>0</v>
      </c>
      <c r="P12" s="255">
        <v>0</v>
      </c>
      <c r="Q12" s="255">
        <v>0</v>
      </c>
      <c r="R12" s="255">
        <v>0</v>
      </c>
      <c r="S12" s="255">
        <v>0</v>
      </c>
      <c r="T12" s="255">
        <v>0</v>
      </c>
      <c r="U12" s="255">
        <f>ROUND(SUM(G12:T12),5)</f>
        <v>5867.1</v>
      </c>
    </row>
    <row r="13" spans="1:31">
      <c r="A13" s="252"/>
      <c r="B13" s="252"/>
      <c r="C13" s="252"/>
      <c r="D13" s="252"/>
      <c r="E13" s="252" t="s">
        <v>228</v>
      </c>
      <c r="F13" s="252"/>
      <c r="G13" s="253">
        <f>ROUND(SUM(G11:G12),5)</f>
        <v>5734.4</v>
      </c>
      <c r="H13" s="254"/>
      <c r="I13" s="253">
        <f>ROUND(SUM(I11:I12),5)</f>
        <v>132.69999999999999</v>
      </c>
      <c r="J13" s="254"/>
      <c r="K13" s="253">
        <f>ROUND(SUM(K11:K12),5)</f>
        <v>0</v>
      </c>
      <c r="L13" s="253">
        <f>ROUND(SUM(L11:L12),5)</f>
        <v>0</v>
      </c>
      <c r="M13" s="253">
        <f t="shared" ref="M13:T13" si="1">ROUND(SUM(M11:M12),5)</f>
        <v>0</v>
      </c>
      <c r="N13" s="253">
        <f t="shared" si="1"/>
        <v>0</v>
      </c>
      <c r="O13" s="253">
        <f t="shared" si="1"/>
        <v>0</v>
      </c>
      <c r="P13" s="253">
        <f t="shared" si="1"/>
        <v>0</v>
      </c>
      <c r="Q13" s="253">
        <f t="shared" si="1"/>
        <v>0</v>
      </c>
      <c r="R13" s="253">
        <f t="shared" si="1"/>
        <v>0</v>
      </c>
      <c r="S13" s="253">
        <f t="shared" si="1"/>
        <v>0</v>
      </c>
      <c r="T13" s="253">
        <f t="shared" si="1"/>
        <v>0</v>
      </c>
      <c r="U13" s="253">
        <f>ROUND(SUM(G13:T13),5)</f>
        <v>5867.1</v>
      </c>
    </row>
    <row r="14" spans="1:31">
      <c r="A14" s="252"/>
      <c r="B14" s="252"/>
      <c r="C14" s="252"/>
      <c r="D14" s="252"/>
      <c r="E14" s="252" t="s">
        <v>229</v>
      </c>
      <c r="F14" s="252"/>
      <c r="G14" s="253"/>
      <c r="H14" s="254"/>
      <c r="I14" s="253"/>
      <c r="J14" s="254"/>
      <c r="K14" s="253"/>
      <c r="L14" s="253"/>
      <c r="M14" s="256"/>
      <c r="N14" s="253"/>
      <c r="O14" s="253"/>
      <c r="P14" s="253"/>
      <c r="Q14" s="253"/>
      <c r="R14" s="253"/>
      <c r="S14" s="253"/>
      <c r="T14" s="253"/>
      <c r="U14" s="253"/>
    </row>
    <row r="15" spans="1:31">
      <c r="A15" s="252"/>
      <c r="B15" s="252"/>
      <c r="C15" s="252"/>
      <c r="D15" s="252"/>
      <c r="E15" s="252"/>
      <c r="F15" s="252" t="s">
        <v>230</v>
      </c>
      <c r="G15" s="257">
        <v>103000</v>
      </c>
      <c r="H15" s="258"/>
      <c r="I15" s="257">
        <v>103000</v>
      </c>
      <c r="J15" s="258"/>
      <c r="K15" s="257">
        <v>103000</v>
      </c>
      <c r="L15" s="257">
        <v>93000</v>
      </c>
      <c r="M15" s="257">
        <v>93000</v>
      </c>
      <c r="N15" s="257">
        <v>93000</v>
      </c>
      <c r="O15" s="257">
        <v>93000</v>
      </c>
      <c r="P15" s="257">
        <v>93000</v>
      </c>
      <c r="Q15" s="257">
        <v>93000</v>
      </c>
      <c r="R15" s="257">
        <v>93000</v>
      </c>
      <c r="S15" s="257">
        <v>93000</v>
      </c>
      <c r="T15" s="257">
        <v>93000</v>
      </c>
      <c r="U15" s="253">
        <f>SUM(G15:T15)</f>
        <v>1146000</v>
      </c>
      <c r="V15" s="259" t="s">
        <v>231</v>
      </c>
      <c r="W15" s="253"/>
      <c r="X15" s="254"/>
      <c r="Y15" s="253"/>
      <c r="Z15" s="254"/>
      <c r="AA15" s="253"/>
      <c r="AB15" s="254"/>
      <c r="AC15" s="253"/>
      <c r="AD15" s="254"/>
      <c r="AE15" s="253"/>
    </row>
    <row r="16" spans="1:31">
      <c r="A16" s="252"/>
      <c r="B16" s="252"/>
      <c r="C16" s="252"/>
      <c r="D16" s="252"/>
      <c r="E16" s="252"/>
      <c r="F16" s="252" t="s">
        <v>232</v>
      </c>
      <c r="G16" s="253">
        <v>0</v>
      </c>
      <c r="H16" s="254"/>
      <c r="I16" s="253"/>
      <c r="J16" s="254"/>
      <c r="K16" s="253"/>
      <c r="L16" s="253"/>
      <c r="M16" s="253"/>
      <c r="N16" s="253"/>
      <c r="O16" s="253">
        <v>4671.54</v>
      </c>
      <c r="P16" s="253"/>
      <c r="Q16" s="253"/>
      <c r="R16" s="253"/>
      <c r="S16" s="253"/>
      <c r="T16" s="253">
        <v>4671.54</v>
      </c>
      <c r="U16" s="253">
        <f>ROUND(SUM(G16:T16),5)</f>
        <v>9343.08</v>
      </c>
      <c r="V16">
        <f>1005616.76+78167.03+84548.13-7816.7</f>
        <v>1160515.22</v>
      </c>
    </row>
    <row r="17" spans="1:23" s="263" customFormat="1" ht="15" thickBot="1">
      <c r="A17" s="260"/>
      <c r="B17" s="260"/>
      <c r="C17" s="260"/>
      <c r="D17" s="260"/>
      <c r="E17" s="260"/>
      <c r="F17" s="260" t="s">
        <v>233</v>
      </c>
      <c r="G17" s="261">
        <v>11695.28</v>
      </c>
      <c r="H17" s="262"/>
      <c r="I17" s="261">
        <v>11695.28</v>
      </c>
      <c r="J17" s="262"/>
      <c r="K17" s="261">
        <v>11695.28</v>
      </c>
      <c r="L17" s="261">
        <v>10345.27</v>
      </c>
      <c r="M17" s="261">
        <v>10345.27</v>
      </c>
      <c r="N17" s="261">
        <v>10345.27</v>
      </c>
      <c r="O17" s="261">
        <v>10345.27</v>
      </c>
      <c r="P17" s="261">
        <v>10345.27</v>
      </c>
      <c r="Q17" s="261">
        <v>10345.27</v>
      </c>
      <c r="R17" s="261">
        <v>10345.27</v>
      </c>
      <c r="S17" s="261">
        <v>10345.27</v>
      </c>
      <c r="T17" s="261">
        <v>10345.27</v>
      </c>
      <c r="U17" s="261">
        <f>ROUND(SUM(G17:T17),5)</f>
        <v>128193.27</v>
      </c>
    </row>
    <row r="18" spans="1:23">
      <c r="A18" s="252"/>
      <c r="B18" s="252"/>
      <c r="C18" s="252"/>
      <c r="D18" s="252"/>
      <c r="E18" s="252" t="s">
        <v>234</v>
      </c>
      <c r="F18" s="252"/>
      <c r="G18" s="253">
        <f>ROUND(SUM(G14:G17),5)</f>
        <v>114695.28</v>
      </c>
      <c r="H18" s="254"/>
      <c r="I18" s="253">
        <f>ROUND(SUM(I14:I17),5)</f>
        <v>114695.28</v>
      </c>
      <c r="J18" s="254"/>
      <c r="K18" s="253">
        <f t="shared" ref="K18:T18" si="2">ROUND(SUM(K14:K17),5)</f>
        <v>114695.28</v>
      </c>
      <c r="L18" s="253">
        <f t="shared" si="2"/>
        <v>103345.27</v>
      </c>
      <c r="M18" s="253">
        <f t="shared" si="2"/>
        <v>103345.27</v>
      </c>
      <c r="N18" s="253">
        <f t="shared" si="2"/>
        <v>103345.27</v>
      </c>
      <c r="O18" s="253">
        <f t="shared" si="2"/>
        <v>108016.81</v>
      </c>
      <c r="P18" s="253">
        <f t="shared" si="2"/>
        <v>103345.27</v>
      </c>
      <c r="Q18" s="253">
        <f t="shared" si="2"/>
        <v>103345.27</v>
      </c>
      <c r="R18" s="253">
        <f t="shared" si="2"/>
        <v>103345.27</v>
      </c>
      <c r="S18" s="253">
        <f t="shared" si="2"/>
        <v>103345.27</v>
      </c>
      <c r="T18" s="253">
        <f t="shared" si="2"/>
        <v>108016.81</v>
      </c>
      <c r="U18" s="253">
        <f>ROUND(SUM(G18:T18),5)</f>
        <v>1283536.3500000001</v>
      </c>
    </row>
    <row r="19" spans="1:23">
      <c r="A19" s="252"/>
      <c r="B19" s="252"/>
      <c r="C19" s="252"/>
      <c r="D19" s="252"/>
      <c r="E19" s="252" t="s">
        <v>235</v>
      </c>
      <c r="F19" s="252"/>
      <c r="G19" s="253"/>
      <c r="H19" s="254"/>
      <c r="I19" s="253"/>
      <c r="J19" s="254"/>
      <c r="K19" s="253"/>
      <c r="L19" s="253"/>
      <c r="M19" s="253"/>
      <c r="N19" s="253"/>
      <c r="O19" s="253"/>
      <c r="P19" s="253"/>
      <c r="Q19" s="253"/>
      <c r="R19" s="253"/>
      <c r="S19" s="253"/>
      <c r="T19" s="253"/>
      <c r="U19" s="253"/>
    </row>
    <row r="20" spans="1:23">
      <c r="A20" s="252"/>
      <c r="B20" s="252"/>
      <c r="C20" s="252"/>
      <c r="D20" s="252"/>
      <c r="E20" s="252"/>
      <c r="F20" s="252" t="s">
        <v>236</v>
      </c>
      <c r="G20" s="253">
        <v>13418.49</v>
      </c>
      <c r="H20" s="254"/>
      <c r="I20" s="253">
        <v>13418.49</v>
      </c>
      <c r="J20" s="254"/>
      <c r="K20" s="253">
        <v>13418.49</v>
      </c>
      <c r="L20" s="253">
        <v>12103.81</v>
      </c>
      <c r="M20" s="253">
        <v>12103.81</v>
      </c>
      <c r="N20" s="253">
        <v>12103.81</v>
      </c>
      <c r="O20" s="253">
        <v>12103.81</v>
      </c>
      <c r="P20" s="253">
        <v>12103.81</v>
      </c>
      <c r="Q20" s="253">
        <v>12103.81</v>
      </c>
      <c r="R20" s="253">
        <v>12103.81</v>
      </c>
      <c r="S20" s="253">
        <v>12103.81</v>
      </c>
      <c r="T20" s="253">
        <v>12103.81</v>
      </c>
      <c r="U20" s="253">
        <f>ROUND(SUM(G20:T20),5)</f>
        <v>149189.76000000001</v>
      </c>
    </row>
    <row r="21" spans="1:23" ht="15" thickBot="1">
      <c r="A21" s="252"/>
      <c r="B21" s="252"/>
      <c r="C21" s="252"/>
      <c r="D21" s="252"/>
      <c r="E21" s="252"/>
      <c r="F21" s="252" t="s">
        <v>237</v>
      </c>
      <c r="G21" s="255">
        <v>4888.1000000000004</v>
      </c>
      <c r="H21" s="254"/>
      <c r="I21" s="255">
        <v>4888.3</v>
      </c>
      <c r="J21" s="254"/>
      <c r="K21" s="255">
        <v>4888.1499999999996</v>
      </c>
      <c r="L21" s="255">
        <v>4411.24</v>
      </c>
      <c r="M21" s="255">
        <v>4411.24</v>
      </c>
      <c r="N21" s="255">
        <v>4411.24</v>
      </c>
      <c r="O21" s="255">
        <v>4411.24</v>
      </c>
      <c r="P21" s="255">
        <v>4411.24</v>
      </c>
      <c r="Q21" s="255">
        <v>4411.24</v>
      </c>
      <c r="R21" s="255">
        <v>4411.24</v>
      </c>
      <c r="S21" s="255">
        <v>4411.24</v>
      </c>
      <c r="T21" s="255">
        <f>4888.15-476.88</f>
        <v>4411.2699999999995</v>
      </c>
      <c r="U21" s="255">
        <f>ROUND(SUM(G21:T21),5)</f>
        <v>54365.74</v>
      </c>
      <c r="V21" s="253">
        <v>54365.74</v>
      </c>
      <c r="W21" s="264"/>
    </row>
    <row r="22" spans="1:23">
      <c r="A22" s="252"/>
      <c r="B22" s="252"/>
      <c r="C22" s="252"/>
      <c r="D22" s="252"/>
      <c r="E22" s="252" t="s">
        <v>238</v>
      </c>
      <c r="F22" s="252"/>
      <c r="G22" s="253">
        <f>ROUND(SUM(G19:G21),5)</f>
        <v>18306.59</v>
      </c>
      <c r="H22" s="254"/>
      <c r="I22" s="253">
        <f>ROUND(SUM(I19:I21),5)</f>
        <v>18306.79</v>
      </c>
      <c r="J22" s="254"/>
      <c r="K22" s="253">
        <f>ROUND(SUM(K19:K21),5)</f>
        <v>18306.64</v>
      </c>
      <c r="L22" s="253">
        <f>ROUND(SUM(L19:L21),5)</f>
        <v>16515.05</v>
      </c>
      <c r="M22" s="253">
        <f t="shared" ref="M22:T22" si="3">ROUND(SUM(M19:M21),5)</f>
        <v>16515.05</v>
      </c>
      <c r="N22" s="253">
        <f t="shared" si="3"/>
        <v>16515.05</v>
      </c>
      <c r="O22" s="253">
        <f t="shared" si="3"/>
        <v>16515.05</v>
      </c>
      <c r="P22" s="253">
        <f t="shared" si="3"/>
        <v>16515.05</v>
      </c>
      <c r="Q22" s="253">
        <f t="shared" si="3"/>
        <v>16515.05</v>
      </c>
      <c r="R22" s="253">
        <f t="shared" si="3"/>
        <v>16515.05</v>
      </c>
      <c r="S22" s="253">
        <f t="shared" si="3"/>
        <v>16515.05</v>
      </c>
      <c r="T22" s="253">
        <f t="shared" si="3"/>
        <v>16515.080000000002</v>
      </c>
      <c r="U22" s="253">
        <f>ROUND(SUM(G22:T22),5)</f>
        <v>203555.5</v>
      </c>
    </row>
    <row r="23" spans="1:23">
      <c r="A23" s="252"/>
      <c r="B23" s="252"/>
      <c r="C23" s="252"/>
      <c r="D23" s="252"/>
      <c r="E23" s="252" t="s">
        <v>239</v>
      </c>
      <c r="F23" s="252"/>
      <c r="G23" s="253"/>
      <c r="H23" s="254"/>
      <c r="I23" s="253"/>
      <c r="J23" s="254"/>
      <c r="K23" s="253"/>
      <c r="L23" s="253"/>
      <c r="M23" s="253"/>
      <c r="N23" s="253"/>
      <c r="O23" s="253"/>
      <c r="P23" s="253"/>
      <c r="Q23" s="253"/>
      <c r="R23" s="253"/>
      <c r="S23" s="253"/>
      <c r="T23" s="253"/>
      <c r="U23" s="253"/>
    </row>
    <row r="24" spans="1:23" ht="15" thickBot="1">
      <c r="A24" s="252" t="s">
        <v>240</v>
      </c>
      <c r="B24" s="252"/>
      <c r="C24" s="252"/>
      <c r="D24" s="252"/>
      <c r="E24" s="252"/>
      <c r="F24" s="252" t="s">
        <v>241</v>
      </c>
      <c r="G24" s="255">
        <v>7012.71</v>
      </c>
      <c r="H24" s="254"/>
      <c r="I24" s="255">
        <v>22855.53</v>
      </c>
      <c r="J24" s="254"/>
      <c r="K24" s="255">
        <f>27968.38+5600+5600</f>
        <v>39168.380000000005</v>
      </c>
      <c r="L24" s="255">
        <f>23679.28+5600+5600</f>
        <v>34879.279999999999</v>
      </c>
      <c r="M24" s="255">
        <f t="shared" ref="M24:S24" si="4">23679.28+5600+5600</f>
        <v>34879.279999999999</v>
      </c>
      <c r="N24" s="255">
        <f t="shared" si="4"/>
        <v>34879.279999999999</v>
      </c>
      <c r="O24" s="255">
        <f t="shared" si="4"/>
        <v>34879.279999999999</v>
      </c>
      <c r="P24" s="255">
        <f t="shared" si="4"/>
        <v>34879.279999999999</v>
      </c>
      <c r="Q24" s="255">
        <f t="shared" si="4"/>
        <v>34879.279999999999</v>
      </c>
      <c r="R24" s="255">
        <f t="shared" si="4"/>
        <v>34879.279999999999</v>
      </c>
      <c r="S24" s="255">
        <f t="shared" si="4"/>
        <v>34879.279999999999</v>
      </c>
      <c r="T24" s="255">
        <f>23679.28+5600+5600+11412.86</f>
        <v>46292.14</v>
      </c>
      <c r="U24" s="255">
        <f>ROUND(SUM(G24:T24),5)</f>
        <v>394363</v>
      </c>
      <c r="V24">
        <v>394363</v>
      </c>
      <c r="W24" s="265">
        <f>+U24-V24</f>
        <v>0</v>
      </c>
    </row>
    <row r="25" spans="1:23">
      <c r="A25" s="252"/>
      <c r="B25" s="252"/>
      <c r="C25" s="252"/>
      <c r="D25" s="252"/>
      <c r="E25" s="252" t="s">
        <v>242</v>
      </c>
      <c r="F25" s="252"/>
      <c r="G25" s="253">
        <f>ROUND(SUM(G23:G24),5)</f>
        <v>7012.71</v>
      </c>
      <c r="H25" s="254"/>
      <c r="I25" s="253">
        <f>ROUND(SUM(I23:I24),5)</f>
        <v>22855.53</v>
      </c>
      <c r="J25" s="254"/>
      <c r="K25" s="253">
        <f>ROUND(SUM(K23:K24),5)</f>
        <v>39168.379999999997</v>
      </c>
      <c r="L25" s="253">
        <f>ROUND(SUM(L23:L24),5)</f>
        <v>34879.279999999999</v>
      </c>
      <c r="M25" s="253">
        <f t="shared" ref="M25:T25" si="5">ROUND(SUM(M23:M24),5)</f>
        <v>34879.279999999999</v>
      </c>
      <c r="N25" s="253">
        <f t="shared" si="5"/>
        <v>34879.279999999999</v>
      </c>
      <c r="O25" s="253">
        <f t="shared" si="5"/>
        <v>34879.279999999999</v>
      </c>
      <c r="P25" s="253">
        <f t="shared" si="5"/>
        <v>34879.279999999999</v>
      </c>
      <c r="Q25" s="253">
        <f t="shared" si="5"/>
        <v>34879.279999999999</v>
      </c>
      <c r="R25" s="253">
        <f t="shared" si="5"/>
        <v>34879.279999999999</v>
      </c>
      <c r="S25" s="253">
        <f t="shared" si="5"/>
        <v>34879.279999999999</v>
      </c>
      <c r="T25" s="253">
        <f t="shared" si="5"/>
        <v>46292.14</v>
      </c>
      <c r="U25" s="253">
        <f>ROUND(SUM(G25:T25),5)</f>
        <v>394363</v>
      </c>
    </row>
    <row r="26" spans="1:23" ht="15" thickBot="1">
      <c r="A26" s="252"/>
      <c r="B26" s="252"/>
      <c r="C26" s="252"/>
      <c r="D26" s="252"/>
      <c r="E26" s="252" t="s">
        <v>243</v>
      </c>
      <c r="F26" s="252"/>
      <c r="G26" s="253">
        <v>0</v>
      </c>
      <c r="H26" s="254"/>
      <c r="I26" s="253">
        <v>2746.97</v>
      </c>
      <c r="J26" s="254"/>
      <c r="K26" s="253">
        <v>0</v>
      </c>
      <c r="L26" s="253">
        <v>0</v>
      </c>
      <c r="M26" s="253">
        <v>0</v>
      </c>
      <c r="N26" s="253">
        <v>0</v>
      </c>
      <c r="O26" s="253">
        <v>0</v>
      </c>
      <c r="P26" s="253">
        <v>0</v>
      </c>
      <c r="Q26" s="253">
        <v>0</v>
      </c>
      <c r="R26" s="253">
        <v>0</v>
      </c>
      <c r="S26" s="253">
        <v>0</v>
      </c>
      <c r="T26" s="253">
        <v>0</v>
      </c>
      <c r="U26" s="253">
        <f>ROUND(SUM(G26:T26),5)</f>
        <v>2746.97</v>
      </c>
    </row>
    <row r="27" spans="1:23" ht="15" thickBot="1">
      <c r="A27" s="252"/>
      <c r="B27" s="252"/>
      <c r="C27" s="252"/>
      <c r="D27" s="252" t="s">
        <v>244</v>
      </c>
      <c r="E27" s="252"/>
      <c r="F27" s="252"/>
      <c r="G27" s="266">
        <f>ROUND(SUM(G9:G10)+G13+G18+G22+SUM(G25:G26),5)</f>
        <v>145749.81</v>
      </c>
      <c r="H27" s="254"/>
      <c r="I27" s="266">
        <f>ROUND(SUM(I9:I10)+I13+I18+I22+SUM(I25:I26),5)</f>
        <v>158737.88</v>
      </c>
      <c r="J27" s="254"/>
      <c r="K27" s="266">
        <f t="shared" ref="K27:T27" si="6">ROUND(SUM(K9:K10)+K13+K18+K22+SUM(K25:K26),5)</f>
        <v>172170.3</v>
      </c>
      <c r="L27" s="266">
        <f t="shared" si="6"/>
        <v>154739.6</v>
      </c>
      <c r="M27" s="266">
        <f t="shared" si="6"/>
        <v>154739.6</v>
      </c>
      <c r="N27" s="266">
        <f t="shared" si="6"/>
        <v>154739.6</v>
      </c>
      <c r="O27" s="266">
        <f t="shared" si="6"/>
        <v>159411.14000000001</v>
      </c>
      <c r="P27" s="266">
        <f t="shared" si="6"/>
        <v>154739.6</v>
      </c>
      <c r="Q27" s="266">
        <f t="shared" si="6"/>
        <v>154739.6</v>
      </c>
      <c r="R27" s="266">
        <f t="shared" si="6"/>
        <v>154739.6</v>
      </c>
      <c r="S27" s="266">
        <f t="shared" si="6"/>
        <v>154739.6</v>
      </c>
      <c r="T27" s="266">
        <f t="shared" si="6"/>
        <v>170834.03</v>
      </c>
      <c r="U27" s="266">
        <f>ROUND(SUM(G27:T27),5)</f>
        <v>1890080.36</v>
      </c>
    </row>
    <row r="28" spans="1:23">
      <c r="A28" s="252"/>
      <c r="B28" s="252"/>
      <c r="C28" s="252" t="s">
        <v>245</v>
      </c>
      <c r="D28" s="252"/>
      <c r="E28" s="252"/>
      <c r="F28" s="252"/>
      <c r="G28" s="253">
        <f>G27</f>
        <v>145749.81</v>
      </c>
      <c r="H28" s="254"/>
      <c r="I28" s="253">
        <f>I27</f>
        <v>158737.88</v>
      </c>
      <c r="J28" s="254"/>
      <c r="K28" s="253">
        <f>K27</f>
        <v>172170.3</v>
      </c>
      <c r="L28" s="253">
        <f>L27</f>
        <v>154739.6</v>
      </c>
      <c r="M28" s="253">
        <f t="shared" ref="M28:T28" si="7">M27</f>
        <v>154739.6</v>
      </c>
      <c r="N28" s="253">
        <f t="shared" si="7"/>
        <v>154739.6</v>
      </c>
      <c r="O28" s="253">
        <f t="shared" si="7"/>
        <v>159411.14000000001</v>
      </c>
      <c r="P28" s="253">
        <f t="shared" si="7"/>
        <v>154739.6</v>
      </c>
      <c r="Q28" s="253">
        <f t="shared" si="7"/>
        <v>154739.6</v>
      </c>
      <c r="R28" s="253">
        <f t="shared" si="7"/>
        <v>154739.6</v>
      </c>
      <c r="S28" s="253">
        <f t="shared" si="7"/>
        <v>154739.6</v>
      </c>
      <c r="T28" s="253">
        <f t="shared" si="7"/>
        <v>170834.03</v>
      </c>
      <c r="U28" s="253">
        <f>ROUND(SUM(G28:T28),5)</f>
        <v>1890080.36</v>
      </c>
    </row>
    <row r="29" spans="1:23">
      <c r="A29" s="252"/>
      <c r="B29" s="252"/>
      <c r="C29" s="252"/>
      <c r="D29" s="252" t="s">
        <v>246</v>
      </c>
      <c r="E29" s="252"/>
      <c r="F29" s="252"/>
      <c r="G29" s="253"/>
      <c r="H29" s="254"/>
      <c r="I29" s="253"/>
      <c r="J29" s="254"/>
      <c r="K29" s="253"/>
      <c r="L29" s="253"/>
      <c r="M29" s="253"/>
      <c r="N29" s="253"/>
      <c r="O29" s="253"/>
      <c r="P29" s="253"/>
      <c r="Q29" s="253"/>
      <c r="R29" s="253"/>
      <c r="S29" s="253"/>
      <c r="T29" s="253"/>
      <c r="U29" s="253"/>
    </row>
    <row r="30" spans="1:23">
      <c r="A30" s="252"/>
      <c r="B30" s="252"/>
      <c r="C30" s="252"/>
      <c r="D30" s="252"/>
      <c r="E30" s="252" t="s">
        <v>247</v>
      </c>
      <c r="F30" s="252"/>
      <c r="G30" s="253"/>
      <c r="H30" s="254"/>
      <c r="I30" s="253"/>
      <c r="J30" s="254"/>
      <c r="K30" s="253"/>
      <c r="L30" s="253"/>
      <c r="M30" s="253"/>
      <c r="N30" s="253"/>
      <c r="O30" s="253"/>
      <c r="P30" s="253"/>
      <c r="Q30" s="253"/>
      <c r="R30" s="253"/>
      <c r="S30" s="253"/>
      <c r="T30" s="253"/>
      <c r="U30" s="253"/>
    </row>
    <row r="31" spans="1:23">
      <c r="A31" s="252"/>
      <c r="B31" s="252"/>
      <c r="C31" s="252"/>
      <c r="D31" s="252"/>
      <c r="E31" s="252"/>
      <c r="F31" s="252" t="s">
        <v>248</v>
      </c>
      <c r="G31" s="253">
        <v>22357.46</v>
      </c>
      <c r="H31" s="254"/>
      <c r="I31" s="253">
        <v>25791.66</v>
      </c>
      <c r="J31" s="254"/>
      <c r="K31" s="253">
        <v>25020.83</v>
      </c>
      <c r="L31" s="253">
        <v>25020.83</v>
      </c>
      <c r="M31" s="253"/>
      <c r="N31" s="253"/>
      <c r="O31" s="253"/>
      <c r="P31" s="253">
        <v>25020.83</v>
      </c>
      <c r="Q31" s="253">
        <v>25020.83</v>
      </c>
      <c r="R31" s="253">
        <v>25020.83</v>
      </c>
      <c r="S31" s="253">
        <v>25020.83</v>
      </c>
      <c r="T31" s="253">
        <v>25020.83</v>
      </c>
      <c r="U31" s="253">
        <f t="shared" ref="U31:U40" si="8">ROUND(SUM(G31:T31),5)</f>
        <v>223294.93</v>
      </c>
    </row>
    <row r="32" spans="1:23">
      <c r="A32" s="252"/>
      <c r="B32" s="252"/>
      <c r="C32" s="252"/>
      <c r="D32" s="252"/>
      <c r="E32" s="252"/>
      <c r="F32" s="252" t="s">
        <v>249</v>
      </c>
      <c r="G32" s="253">
        <v>20500.02</v>
      </c>
      <c r="H32" s="254"/>
      <c r="I32" s="253">
        <v>28375.02</v>
      </c>
      <c r="J32" s="254"/>
      <c r="K32" s="253">
        <v>28375.02</v>
      </c>
      <c r="L32" s="253">
        <v>28375.02</v>
      </c>
      <c r="M32" s="253"/>
      <c r="N32" s="253"/>
      <c r="O32" s="253"/>
      <c r="P32" s="253">
        <v>28375.02</v>
      </c>
      <c r="Q32" s="253">
        <v>28375.02</v>
      </c>
      <c r="R32" s="253">
        <v>28375.02</v>
      </c>
      <c r="S32" s="253">
        <v>28375.02</v>
      </c>
      <c r="T32" s="253">
        <v>28375.02</v>
      </c>
      <c r="U32" s="253">
        <f t="shared" si="8"/>
        <v>247500.18</v>
      </c>
    </row>
    <row r="33" spans="1:22">
      <c r="A33" s="252"/>
      <c r="B33" s="252"/>
      <c r="C33" s="252"/>
      <c r="D33" s="252"/>
      <c r="E33" s="252"/>
      <c r="F33" s="252" t="s">
        <v>250</v>
      </c>
      <c r="G33" s="253">
        <v>16666.580000000002</v>
      </c>
      <c r="H33" s="254"/>
      <c r="I33" s="253">
        <v>14079.16</v>
      </c>
      <c r="J33" s="254"/>
      <c r="K33" s="253">
        <v>15707.12</v>
      </c>
      <c r="L33" s="253">
        <v>15707.12</v>
      </c>
      <c r="M33" s="253"/>
      <c r="N33" s="253"/>
      <c r="O33" s="253"/>
      <c r="P33" s="253">
        <v>15707.12</v>
      </c>
      <c r="Q33" s="253">
        <v>15707.12</v>
      </c>
      <c r="R33" s="253">
        <v>15707.12</v>
      </c>
      <c r="S33" s="253">
        <v>15707.12</v>
      </c>
      <c r="T33" s="253">
        <v>15707.12</v>
      </c>
      <c r="U33" s="253">
        <f t="shared" si="8"/>
        <v>140695.57999999999</v>
      </c>
      <c r="V33" s="247">
        <f>+U31+U32+U33+U34+U36</f>
        <v>731596.71999999986</v>
      </c>
    </row>
    <row r="34" spans="1:22">
      <c r="A34" s="252"/>
      <c r="B34" s="252"/>
      <c r="C34" s="252"/>
      <c r="D34" s="252"/>
      <c r="E34" s="252"/>
      <c r="F34" s="252" t="s">
        <v>251</v>
      </c>
      <c r="G34" s="253">
        <v>7213.16</v>
      </c>
      <c r="H34" s="254"/>
      <c r="I34" s="253">
        <v>8213.16</v>
      </c>
      <c r="J34" s="254"/>
      <c r="K34" s="253">
        <v>8213.16</v>
      </c>
      <c r="L34" s="253">
        <v>8213.16</v>
      </c>
      <c r="M34" s="253"/>
      <c r="N34" s="253"/>
      <c r="O34" s="253"/>
      <c r="P34" s="253">
        <v>8213.16</v>
      </c>
      <c r="Q34" s="253">
        <v>8213.16</v>
      </c>
      <c r="R34" s="253">
        <v>8213.16</v>
      </c>
      <c r="S34" s="253">
        <v>8213.16</v>
      </c>
      <c r="T34" s="253">
        <v>8213.16</v>
      </c>
      <c r="U34" s="253">
        <f t="shared" si="8"/>
        <v>72918.44</v>
      </c>
      <c r="V34" s="265">
        <f>+U38</f>
        <v>134938.1</v>
      </c>
    </row>
    <row r="35" spans="1:22" ht="16.899999999999999" customHeight="1">
      <c r="A35" s="252"/>
      <c r="B35" s="252"/>
      <c r="C35" s="252"/>
      <c r="D35" s="252"/>
      <c r="E35" s="252"/>
      <c r="F35" s="252" t="s">
        <v>252</v>
      </c>
      <c r="G35" s="253">
        <v>6695</v>
      </c>
      <c r="H35" s="254"/>
      <c r="I35" s="253">
        <v>5444.32</v>
      </c>
      <c r="J35" s="254"/>
      <c r="K35" s="253">
        <v>5444.32</v>
      </c>
      <c r="L35" s="253">
        <v>5444.32</v>
      </c>
      <c r="M35" s="253"/>
      <c r="N35" s="253"/>
      <c r="O35" s="253"/>
      <c r="P35" s="253">
        <v>5444.32</v>
      </c>
      <c r="Q35" s="253">
        <v>5444.32</v>
      </c>
      <c r="R35" s="253">
        <v>5444.32</v>
      </c>
      <c r="S35" s="253">
        <v>5444.32</v>
      </c>
      <c r="T35" s="253">
        <v>5444.32</v>
      </c>
      <c r="U35" s="253">
        <f t="shared" si="8"/>
        <v>50249.56</v>
      </c>
      <c r="V35" s="247">
        <f>+U35+U39</f>
        <v>85999.56</v>
      </c>
    </row>
    <row r="36" spans="1:22">
      <c r="A36" s="252"/>
      <c r="B36" s="252"/>
      <c r="C36" s="252"/>
      <c r="D36" s="252"/>
      <c r="E36" s="252"/>
      <c r="F36" s="252" t="s">
        <v>253</v>
      </c>
      <c r="G36" s="253">
        <v>6083.34</v>
      </c>
      <c r="H36" s="254"/>
      <c r="I36" s="253">
        <v>6541.68</v>
      </c>
      <c r="J36" s="254"/>
      <c r="K36" s="253">
        <v>4937.51</v>
      </c>
      <c r="L36" s="253">
        <v>4937.51</v>
      </c>
      <c r="M36" s="253"/>
      <c r="N36" s="253"/>
      <c r="O36" s="253"/>
      <c r="P36" s="253">
        <v>4937.51</v>
      </c>
      <c r="Q36" s="253">
        <v>4937.51</v>
      </c>
      <c r="R36" s="253">
        <v>4937.51</v>
      </c>
      <c r="S36" s="253">
        <v>4937.51</v>
      </c>
      <c r="T36" s="253">
        <v>4937.51</v>
      </c>
      <c r="U36" s="253">
        <f t="shared" si="8"/>
        <v>47187.59</v>
      </c>
    </row>
    <row r="37" spans="1:22">
      <c r="A37" s="252"/>
      <c r="B37" s="252"/>
      <c r="C37" s="252"/>
      <c r="D37" s="252"/>
      <c r="E37" s="252"/>
      <c r="F37" s="252" t="s">
        <v>254</v>
      </c>
      <c r="G37" s="253">
        <v>0</v>
      </c>
      <c r="H37" s="254"/>
      <c r="I37" s="253">
        <v>0</v>
      </c>
      <c r="J37" s="254"/>
      <c r="K37" s="253">
        <v>0</v>
      </c>
      <c r="L37" s="253">
        <v>0</v>
      </c>
      <c r="M37" s="253"/>
      <c r="N37" s="253"/>
      <c r="O37" s="253"/>
      <c r="P37" s="253">
        <v>0</v>
      </c>
      <c r="Q37" s="253">
        <v>0</v>
      </c>
      <c r="R37" s="253">
        <v>0</v>
      </c>
      <c r="S37" s="253">
        <v>0</v>
      </c>
      <c r="T37" s="253">
        <v>0</v>
      </c>
      <c r="U37" s="253">
        <f t="shared" si="8"/>
        <v>0</v>
      </c>
      <c r="V37" s="247">
        <f>SUM(V33:V36)</f>
        <v>952534.37999999989</v>
      </c>
    </row>
    <row r="38" spans="1:22">
      <c r="A38" s="252"/>
      <c r="B38" s="252"/>
      <c r="C38" s="252"/>
      <c r="D38" s="252"/>
      <c r="E38" s="252"/>
      <c r="F38" s="252" t="s">
        <v>255</v>
      </c>
      <c r="G38" s="253">
        <v>23771.38</v>
      </c>
      <c r="H38" s="254"/>
      <c r="I38" s="253">
        <v>16708.34</v>
      </c>
      <c r="J38" s="254"/>
      <c r="K38" s="253">
        <v>16708.34</v>
      </c>
      <c r="L38" s="253">
        <f>16708.34-1875-1875</f>
        <v>12958.34</v>
      </c>
      <c r="M38" s="253"/>
      <c r="N38" s="253"/>
      <c r="O38" s="253"/>
      <c r="P38" s="253">
        <f>16708.34-1875-1875</f>
        <v>12958.34</v>
      </c>
      <c r="Q38" s="253">
        <f>16708.34-1875-1875</f>
        <v>12958.34</v>
      </c>
      <c r="R38" s="253">
        <f>16708.34-1875-1875</f>
        <v>12958.34</v>
      </c>
      <c r="S38" s="253">
        <f>16708.34-1875-1875</f>
        <v>12958.34</v>
      </c>
      <c r="T38" s="253">
        <f>16708.34-1875-1875</f>
        <v>12958.34</v>
      </c>
      <c r="U38" s="253">
        <f t="shared" si="8"/>
        <v>134938.1</v>
      </c>
    </row>
    <row r="39" spans="1:22">
      <c r="A39" s="252"/>
      <c r="B39" s="252"/>
      <c r="C39" s="252"/>
      <c r="D39" s="252"/>
      <c r="E39" s="252"/>
      <c r="F39" s="252" t="s">
        <v>256</v>
      </c>
      <c r="G39" s="253">
        <v>3750</v>
      </c>
      <c r="H39" s="254"/>
      <c r="I39" s="253">
        <v>4000</v>
      </c>
      <c r="J39" s="254"/>
      <c r="K39" s="253">
        <v>4000</v>
      </c>
      <c r="L39" s="253">
        <v>4000</v>
      </c>
      <c r="M39" s="253"/>
      <c r="N39" s="253"/>
      <c r="O39" s="253"/>
      <c r="P39" s="253">
        <v>4000</v>
      </c>
      <c r="Q39" s="253">
        <v>4000</v>
      </c>
      <c r="R39" s="253">
        <v>4000</v>
      </c>
      <c r="S39" s="253">
        <v>4000</v>
      </c>
      <c r="T39" s="253">
        <v>4000</v>
      </c>
      <c r="U39" s="253">
        <f t="shared" si="8"/>
        <v>35750</v>
      </c>
    </row>
    <row r="40" spans="1:22" ht="15" thickBot="1">
      <c r="A40" s="252"/>
      <c r="B40" s="252"/>
      <c r="C40" s="252"/>
      <c r="D40" s="252"/>
      <c r="E40" s="252"/>
      <c r="F40" s="252" t="s">
        <v>257</v>
      </c>
      <c r="G40" s="255">
        <v>3175.84</v>
      </c>
      <c r="H40" s="254"/>
      <c r="I40" s="255">
        <v>1833.34</v>
      </c>
      <c r="J40" s="254"/>
      <c r="K40" s="255">
        <v>0</v>
      </c>
      <c r="L40" s="255">
        <v>0</v>
      </c>
      <c r="M40" s="255"/>
      <c r="N40" s="255"/>
      <c r="O40" s="255"/>
      <c r="P40" s="255">
        <v>0</v>
      </c>
      <c r="Q40" s="255">
        <v>0</v>
      </c>
      <c r="R40" s="255">
        <v>0</v>
      </c>
      <c r="S40" s="255">
        <v>0</v>
      </c>
      <c r="T40" s="255">
        <v>0</v>
      </c>
      <c r="U40" s="255">
        <f t="shared" si="8"/>
        <v>5009.18</v>
      </c>
    </row>
    <row r="41" spans="1:22" s="270" customFormat="1">
      <c r="A41" s="267"/>
      <c r="B41" s="267"/>
      <c r="C41" s="267"/>
      <c r="D41" s="267"/>
      <c r="E41" s="267" t="s">
        <v>258</v>
      </c>
      <c r="F41" s="267"/>
      <c r="G41" s="268">
        <f>ROUND(SUM(G30:G40),5)</f>
        <v>110212.78</v>
      </c>
      <c r="H41" s="269"/>
      <c r="I41" s="268">
        <f>ROUND(SUM(I30:I40),5)</f>
        <v>110986.68</v>
      </c>
      <c r="J41" s="269"/>
      <c r="K41" s="268">
        <f>ROUND(SUM(K30:K40),5)</f>
        <v>108406.3</v>
      </c>
      <c r="L41" s="268">
        <v>102000</v>
      </c>
      <c r="M41" s="268">
        <v>60000</v>
      </c>
      <c r="N41" s="268">
        <v>60000</v>
      </c>
      <c r="O41" s="268">
        <v>60000</v>
      </c>
      <c r="P41" s="268">
        <v>60000</v>
      </c>
      <c r="Q41" s="268">
        <v>60000</v>
      </c>
      <c r="R41" s="268">
        <v>60000</v>
      </c>
      <c r="S41" s="268">
        <v>60000</v>
      </c>
      <c r="T41" s="268">
        <v>60000</v>
      </c>
      <c r="U41" s="268">
        <f>SUM(G41:T41)</f>
        <v>911605.76000000001</v>
      </c>
    </row>
    <row r="42" spans="1:22">
      <c r="A42" s="252"/>
      <c r="B42" s="252"/>
      <c r="C42" s="252"/>
      <c r="D42" s="252"/>
      <c r="E42" s="252" t="s">
        <v>259</v>
      </c>
      <c r="F42" s="252"/>
      <c r="G42" s="253"/>
      <c r="H42" s="254"/>
      <c r="I42" s="253"/>
      <c r="J42" s="254"/>
      <c r="K42" s="253"/>
      <c r="L42" s="253"/>
      <c r="M42" s="253"/>
      <c r="N42" s="253"/>
      <c r="O42" s="253"/>
      <c r="P42" s="253"/>
      <c r="Q42" s="253"/>
      <c r="R42" s="253"/>
      <c r="S42" s="253"/>
      <c r="T42" s="253"/>
      <c r="U42" s="253"/>
    </row>
    <row r="43" spans="1:22">
      <c r="A43" s="252"/>
      <c r="B43" s="252"/>
      <c r="C43" s="252"/>
      <c r="D43" s="252"/>
      <c r="E43" s="252"/>
      <c r="F43" s="252" t="s">
        <v>260</v>
      </c>
      <c r="G43" s="253">
        <v>12091.46</v>
      </c>
      <c r="H43" s="254"/>
      <c r="I43" s="253">
        <v>12389.26</v>
      </c>
      <c r="J43" s="254"/>
      <c r="K43" s="253">
        <v>12389.26</v>
      </c>
      <c r="L43" s="253">
        <v>12389.26</v>
      </c>
      <c r="M43" s="253">
        <v>12389.26</v>
      </c>
      <c r="N43" s="253">
        <v>12389.26</v>
      </c>
      <c r="O43" s="253">
        <v>12389.26</v>
      </c>
      <c r="P43" s="253">
        <v>12389.26</v>
      </c>
      <c r="Q43" s="253">
        <v>12389.26</v>
      </c>
      <c r="R43" s="253">
        <v>12389.26</v>
      </c>
      <c r="S43" s="253">
        <v>12389.26</v>
      </c>
      <c r="T43" s="253">
        <v>12389.26</v>
      </c>
      <c r="U43" s="253">
        <f t="shared" ref="U43:U48" si="9">ROUND(SUM(G43:T43),5)</f>
        <v>148373.32</v>
      </c>
    </row>
    <row r="44" spans="1:22">
      <c r="A44" s="252"/>
      <c r="B44" s="252"/>
      <c r="C44" s="252"/>
      <c r="D44" s="252"/>
      <c r="E44" s="252"/>
      <c r="F44" s="252" t="s">
        <v>261</v>
      </c>
      <c r="G44" s="253">
        <v>1598.03</v>
      </c>
      <c r="H44" s="254"/>
      <c r="I44" s="253">
        <v>1609.33</v>
      </c>
      <c r="J44" s="254"/>
      <c r="K44" s="253">
        <v>1571.89</v>
      </c>
      <c r="L44" s="253">
        <v>1571.89</v>
      </c>
      <c r="M44" s="253">
        <v>1571.89</v>
      </c>
      <c r="N44" s="253">
        <v>1571.89</v>
      </c>
      <c r="O44" s="253">
        <v>1571.89</v>
      </c>
      <c r="P44" s="253">
        <v>1571.89</v>
      </c>
      <c r="Q44" s="253">
        <v>1571.89</v>
      </c>
      <c r="R44" s="253">
        <v>1571.89</v>
      </c>
      <c r="S44" s="253">
        <v>1571.89</v>
      </c>
      <c r="T44" s="253">
        <v>1571.89</v>
      </c>
      <c r="U44" s="253">
        <f t="shared" si="9"/>
        <v>18926.259999999998</v>
      </c>
    </row>
    <row r="45" spans="1:22">
      <c r="A45" s="252"/>
      <c r="B45" s="252"/>
      <c r="C45" s="252"/>
      <c r="D45" s="252"/>
      <c r="E45" s="252"/>
      <c r="F45" s="252" t="s">
        <v>262</v>
      </c>
      <c r="G45" s="253">
        <v>3338.3</v>
      </c>
      <c r="H45" s="254"/>
      <c r="I45" s="253">
        <v>3148.82</v>
      </c>
      <c r="J45" s="254"/>
      <c r="K45" s="253">
        <v>3148.82</v>
      </c>
      <c r="L45" s="253">
        <v>3148.82</v>
      </c>
      <c r="M45" s="253">
        <v>3148.82</v>
      </c>
      <c r="N45" s="253">
        <v>3148.82</v>
      </c>
      <c r="O45" s="253">
        <v>3148.82</v>
      </c>
      <c r="P45" s="253">
        <v>3148.82</v>
      </c>
      <c r="Q45" s="253">
        <v>3148.82</v>
      </c>
      <c r="R45" s="253">
        <v>3148.82</v>
      </c>
      <c r="S45" s="253">
        <v>3148.82</v>
      </c>
      <c r="T45" s="253">
        <v>3148.82</v>
      </c>
      <c r="U45" s="253">
        <f t="shared" si="9"/>
        <v>37975.32</v>
      </c>
    </row>
    <row r="46" spans="1:22" s="270" customFormat="1">
      <c r="A46" s="267"/>
      <c r="B46" s="267"/>
      <c r="C46" s="267"/>
      <c r="D46" s="267"/>
      <c r="E46" s="267"/>
      <c r="F46" s="267" t="s">
        <v>263</v>
      </c>
      <c r="G46" s="268">
        <v>10473.76</v>
      </c>
      <c r="H46" s="269"/>
      <c r="I46" s="268">
        <v>11337.48</v>
      </c>
      <c r="J46" s="269"/>
      <c r="K46" s="268">
        <v>7000</v>
      </c>
      <c r="L46" s="268">
        <v>12000</v>
      </c>
      <c r="M46" s="268">
        <v>10000</v>
      </c>
      <c r="N46" s="268">
        <v>10000</v>
      </c>
      <c r="O46" s="268">
        <v>10000</v>
      </c>
      <c r="P46" s="268">
        <v>10000</v>
      </c>
      <c r="Q46" s="268">
        <v>10000</v>
      </c>
      <c r="R46" s="268">
        <v>10000</v>
      </c>
      <c r="S46" s="268">
        <v>10000</v>
      </c>
      <c r="T46" s="268">
        <v>10000</v>
      </c>
      <c r="U46" s="268">
        <f t="shared" si="9"/>
        <v>120811.24</v>
      </c>
    </row>
    <row r="47" spans="1:22">
      <c r="A47" s="252"/>
      <c r="B47" s="252"/>
      <c r="C47" s="252"/>
      <c r="D47" s="252"/>
      <c r="E47" s="252"/>
      <c r="F47" s="252" t="s">
        <v>264</v>
      </c>
      <c r="G47" s="253">
        <v>733.86</v>
      </c>
      <c r="H47" s="254"/>
      <c r="I47" s="253">
        <v>0</v>
      </c>
      <c r="J47" s="254"/>
      <c r="K47" s="253">
        <v>366.93</v>
      </c>
      <c r="L47" s="253">
        <v>366.93</v>
      </c>
      <c r="M47" s="253">
        <v>366.93</v>
      </c>
      <c r="N47" s="253">
        <v>366.93</v>
      </c>
      <c r="O47" s="253">
        <v>366.93</v>
      </c>
      <c r="P47" s="253">
        <v>366.93</v>
      </c>
      <c r="Q47" s="253">
        <v>366.93</v>
      </c>
      <c r="R47" s="253">
        <v>366.93</v>
      </c>
      <c r="S47" s="253">
        <v>366.93</v>
      </c>
      <c r="T47" s="253">
        <v>366.93</v>
      </c>
      <c r="U47" s="253">
        <f t="shared" si="9"/>
        <v>4403.16</v>
      </c>
    </row>
    <row r="48" spans="1:22" ht="15" thickBot="1">
      <c r="A48" s="252"/>
      <c r="B48" s="252"/>
      <c r="C48" s="252"/>
      <c r="D48" s="252"/>
      <c r="E48" s="252"/>
      <c r="F48" s="252" t="s">
        <v>265</v>
      </c>
      <c r="G48" s="255">
        <v>0</v>
      </c>
      <c r="H48" s="254"/>
      <c r="I48" s="255">
        <v>553.5</v>
      </c>
      <c r="J48" s="254"/>
      <c r="K48" s="255">
        <v>483.75</v>
      </c>
      <c r="L48" s="255">
        <v>483.75</v>
      </c>
      <c r="M48" s="255">
        <v>483.75</v>
      </c>
      <c r="N48" s="255">
        <v>483.75</v>
      </c>
      <c r="O48" s="255">
        <v>483.75</v>
      </c>
      <c r="P48" s="255">
        <v>483.75</v>
      </c>
      <c r="Q48" s="255">
        <v>483.75</v>
      </c>
      <c r="R48" s="255">
        <v>483.75</v>
      </c>
      <c r="S48" s="255">
        <v>483.75</v>
      </c>
      <c r="T48" s="255">
        <v>483.75</v>
      </c>
      <c r="U48" s="255">
        <f t="shared" si="9"/>
        <v>5391</v>
      </c>
    </row>
    <row r="49" spans="1:21" s="274" customFormat="1">
      <c r="A49" s="271"/>
      <c r="B49" s="271"/>
      <c r="C49" s="271"/>
      <c r="D49" s="271"/>
      <c r="E49" s="271" t="s">
        <v>266</v>
      </c>
      <c r="F49" s="271"/>
      <c r="G49" s="272">
        <f>ROUND(SUM(G42:G48),5)</f>
        <v>28235.41</v>
      </c>
      <c r="H49" s="273"/>
      <c r="I49" s="272">
        <f>ROUND(SUM(I42:I48),5)</f>
        <v>29038.39</v>
      </c>
      <c r="J49" s="273"/>
      <c r="K49" s="272">
        <v>33192.76</v>
      </c>
      <c r="L49" s="272">
        <f>ROUND(SUM(L42:L48),5)</f>
        <v>29960.65</v>
      </c>
      <c r="M49" s="272">
        <v>32000</v>
      </c>
      <c r="N49" s="272">
        <v>32000</v>
      </c>
      <c r="O49" s="272">
        <v>32000</v>
      </c>
      <c r="P49" s="272">
        <v>32000</v>
      </c>
      <c r="Q49" s="272">
        <v>32000</v>
      </c>
      <c r="R49" s="272">
        <v>32000</v>
      </c>
      <c r="S49" s="272">
        <v>32000</v>
      </c>
      <c r="T49" s="272">
        <v>32000</v>
      </c>
      <c r="U49" s="268">
        <f>SUM(G49:T49)</f>
        <v>376427.20999999996</v>
      </c>
    </row>
    <row r="50" spans="1:21">
      <c r="A50" s="252"/>
      <c r="B50" s="252"/>
      <c r="C50" s="252"/>
      <c r="D50" s="252"/>
      <c r="E50" s="252" t="s">
        <v>267</v>
      </c>
      <c r="F50" s="252"/>
      <c r="G50" s="253"/>
      <c r="H50" s="254"/>
      <c r="I50" s="253"/>
      <c r="J50" s="254"/>
      <c r="K50" s="253"/>
      <c r="L50" s="253"/>
      <c r="M50" s="253"/>
      <c r="N50" s="253"/>
      <c r="O50" s="253"/>
      <c r="P50" s="253"/>
      <c r="Q50" s="253"/>
      <c r="R50" s="253"/>
      <c r="S50" s="253"/>
      <c r="T50" s="253"/>
      <c r="U50" s="253"/>
    </row>
    <row r="51" spans="1:21">
      <c r="A51" s="252"/>
      <c r="B51" s="252"/>
      <c r="C51" s="252"/>
      <c r="D51" s="252"/>
      <c r="E51" s="252"/>
      <c r="F51" s="252" t="s">
        <v>268</v>
      </c>
      <c r="G51" s="253">
        <v>0</v>
      </c>
      <c r="H51" s="254"/>
      <c r="I51" s="253">
        <v>550</v>
      </c>
      <c r="J51" s="254"/>
      <c r="K51" s="253">
        <v>0</v>
      </c>
      <c r="L51" s="253">
        <v>0</v>
      </c>
      <c r="M51" s="253">
        <v>0</v>
      </c>
      <c r="N51" s="253">
        <v>0</v>
      </c>
      <c r="O51" s="253">
        <v>0</v>
      </c>
      <c r="P51" s="253">
        <v>0</v>
      </c>
      <c r="Q51" s="253">
        <v>0</v>
      </c>
      <c r="R51" s="253">
        <v>0</v>
      </c>
      <c r="S51" s="253">
        <v>0</v>
      </c>
      <c r="T51" s="253">
        <v>0</v>
      </c>
      <c r="U51" s="253">
        <f>ROUND(SUM(G51:T51),5)</f>
        <v>550</v>
      </c>
    </row>
    <row r="52" spans="1:21">
      <c r="A52" s="252"/>
      <c r="B52" s="252"/>
      <c r="C52" s="252"/>
      <c r="D52" s="252"/>
      <c r="E52" s="252"/>
      <c r="F52" s="252" t="s">
        <v>269</v>
      </c>
      <c r="G52" s="253">
        <v>0</v>
      </c>
      <c r="H52" s="254"/>
      <c r="I52" s="253">
        <v>859.56</v>
      </c>
      <c r="J52" s="254"/>
      <c r="K52" s="253">
        <v>1800</v>
      </c>
      <c r="L52" s="253">
        <v>1800</v>
      </c>
      <c r="M52" s="253">
        <v>1000</v>
      </c>
      <c r="N52" s="268"/>
      <c r="O52" s="253">
        <v>1800</v>
      </c>
      <c r="P52" s="253">
        <v>1800</v>
      </c>
      <c r="Q52" s="253">
        <v>1000</v>
      </c>
      <c r="R52" s="253">
        <v>1800</v>
      </c>
      <c r="S52" s="253"/>
      <c r="T52" s="268"/>
      <c r="U52" s="253">
        <f>ROUND(SUM(G52:T52),5)</f>
        <v>11859.56</v>
      </c>
    </row>
    <row r="53" spans="1:21">
      <c r="A53" s="252"/>
      <c r="B53" s="252"/>
      <c r="C53" s="252"/>
      <c r="D53" s="252"/>
      <c r="E53" s="252"/>
      <c r="F53" s="252" t="s">
        <v>270</v>
      </c>
      <c r="G53" s="253">
        <v>0</v>
      </c>
      <c r="H53" s="254"/>
      <c r="I53" s="253">
        <v>0</v>
      </c>
      <c r="J53" s="254"/>
      <c r="K53" s="253">
        <v>0</v>
      </c>
      <c r="L53" s="253">
        <v>0</v>
      </c>
      <c r="M53" s="253">
        <v>0</v>
      </c>
      <c r="N53" s="253">
        <v>0</v>
      </c>
      <c r="O53" s="253">
        <v>0</v>
      </c>
      <c r="P53" s="253">
        <v>0</v>
      </c>
      <c r="Q53" s="253">
        <v>0</v>
      </c>
      <c r="R53" s="253">
        <v>0</v>
      </c>
      <c r="S53" s="253">
        <v>0</v>
      </c>
      <c r="T53" s="253">
        <v>0</v>
      </c>
      <c r="U53" s="253">
        <f>ROUND(SUM(G53:T53),5)</f>
        <v>0</v>
      </c>
    </row>
    <row r="54" spans="1:21">
      <c r="A54" s="252"/>
      <c r="B54" s="252"/>
      <c r="C54" s="252"/>
      <c r="D54" s="252"/>
      <c r="E54" s="252"/>
      <c r="F54" s="252" t="s">
        <v>271</v>
      </c>
      <c r="G54" s="253">
        <v>4144.91</v>
      </c>
      <c r="H54" s="254"/>
      <c r="I54" s="253">
        <v>4144.93</v>
      </c>
      <c r="J54" s="254"/>
      <c r="K54" s="253">
        <v>4128.53</v>
      </c>
      <c r="L54" s="253">
        <v>3282</v>
      </c>
      <c r="M54" s="253">
        <v>3282</v>
      </c>
      <c r="N54" s="253">
        <v>3282</v>
      </c>
      <c r="O54" s="253">
        <v>3282</v>
      </c>
      <c r="P54" s="253">
        <v>3282</v>
      </c>
      <c r="Q54" s="253">
        <v>3282</v>
      </c>
      <c r="R54" s="253">
        <v>3282</v>
      </c>
      <c r="S54" s="253">
        <v>3282</v>
      </c>
      <c r="T54" s="253">
        <v>3282</v>
      </c>
      <c r="U54" s="253">
        <f>ROUND(SUM(G54:T54),5)</f>
        <v>41956.37</v>
      </c>
    </row>
    <row r="55" spans="1:21">
      <c r="A55" s="252"/>
      <c r="B55" s="252"/>
      <c r="C55" s="252"/>
      <c r="D55" s="252"/>
      <c r="E55" s="252"/>
      <c r="F55" s="252" t="s">
        <v>272</v>
      </c>
      <c r="G55" s="253">
        <v>9818.24</v>
      </c>
      <c r="H55" s="254"/>
      <c r="I55" s="253">
        <v>0</v>
      </c>
      <c r="J55" s="254"/>
      <c r="K55" s="253">
        <v>0</v>
      </c>
      <c r="L55" s="253">
        <v>0</v>
      </c>
      <c r="M55" s="253">
        <v>0</v>
      </c>
      <c r="N55" s="253">
        <v>0</v>
      </c>
      <c r="O55" s="253">
        <v>0</v>
      </c>
      <c r="P55" s="253">
        <v>0</v>
      </c>
      <c r="Q55" s="253">
        <v>0</v>
      </c>
      <c r="R55" s="253">
        <v>0</v>
      </c>
      <c r="S55" s="253">
        <v>0</v>
      </c>
      <c r="T55" s="253">
        <v>0</v>
      </c>
      <c r="U55" s="253">
        <f t="shared" ref="U55:U64" si="10">ROUND(SUM(G55:T55),5)</f>
        <v>9818.24</v>
      </c>
    </row>
    <row r="56" spans="1:21">
      <c r="A56" s="252"/>
      <c r="B56" s="252"/>
      <c r="C56" s="252"/>
      <c r="D56" s="252"/>
      <c r="E56" s="252"/>
      <c r="F56" s="252" t="s">
        <v>273</v>
      </c>
      <c r="G56" s="253">
        <v>875</v>
      </c>
      <c r="H56" s="254"/>
      <c r="I56" s="253">
        <v>0</v>
      </c>
      <c r="J56" s="254"/>
      <c r="K56" s="253">
        <v>875</v>
      </c>
      <c r="L56" s="253">
        <v>875</v>
      </c>
      <c r="M56" s="253">
        <v>875</v>
      </c>
      <c r="N56" s="253"/>
      <c r="O56" s="253">
        <v>875</v>
      </c>
      <c r="P56" s="253"/>
      <c r="Q56" s="253">
        <v>875</v>
      </c>
      <c r="R56" s="253">
        <v>875</v>
      </c>
      <c r="S56" s="253">
        <v>875</v>
      </c>
      <c r="T56" s="253"/>
      <c r="U56" s="253">
        <f t="shared" si="10"/>
        <v>7000</v>
      </c>
    </row>
    <row r="57" spans="1:21" s="270" customFormat="1">
      <c r="A57" s="267"/>
      <c r="B57" s="267"/>
      <c r="C57" s="267"/>
      <c r="D57" s="267"/>
      <c r="E57" s="267"/>
      <c r="F57" s="267" t="s">
        <v>274</v>
      </c>
      <c r="G57" s="268">
        <v>4000</v>
      </c>
      <c r="H57" s="269"/>
      <c r="I57" s="268">
        <v>4000</v>
      </c>
      <c r="J57" s="269"/>
      <c r="K57" s="268">
        <v>3000</v>
      </c>
      <c r="L57" s="268">
        <v>3000</v>
      </c>
      <c r="M57" s="268">
        <v>3000</v>
      </c>
      <c r="N57" s="268">
        <v>3000</v>
      </c>
      <c r="O57" s="268">
        <v>3000</v>
      </c>
      <c r="P57" s="268">
        <v>3000</v>
      </c>
      <c r="Q57" s="268">
        <v>3000</v>
      </c>
      <c r="R57" s="268">
        <v>3000</v>
      </c>
      <c r="S57" s="268">
        <v>3000</v>
      </c>
      <c r="T57" s="268">
        <v>3000</v>
      </c>
      <c r="U57" s="268">
        <f t="shared" si="10"/>
        <v>38000</v>
      </c>
    </row>
    <row r="58" spans="1:21">
      <c r="A58" s="275"/>
      <c r="B58" s="275"/>
      <c r="C58" s="275"/>
      <c r="D58" s="275"/>
      <c r="E58" s="275"/>
      <c r="F58" s="275" t="s">
        <v>275</v>
      </c>
      <c r="G58" s="276">
        <v>2000</v>
      </c>
      <c r="H58" s="277"/>
      <c r="I58" s="276">
        <v>2000</v>
      </c>
      <c r="J58" s="277"/>
      <c r="K58" s="276">
        <v>2000</v>
      </c>
      <c r="L58" s="276">
        <v>2000</v>
      </c>
      <c r="M58" s="276">
        <v>2000</v>
      </c>
      <c r="N58" s="276">
        <v>2000</v>
      </c>
      <c r="O58" s="276">
        <v>2000</v>
      </c>
      <c r="P58" s="276">
        <v>2000</v>
      </c>
      <c r="Q58" s="276">
        <v>2000</v>
      </c>
      <c r="R58" s="276">
        <v>2000</v>
      </c>
      <c r="S58" s="276">
        <v>2000</v>
      </c>
      <c r="T58" s="276"/>
      <c r="U58" s="276">
        <f t="shared" si="10"/>
        <v>22000</v>
      </c>
    </row>
    <row r="59" spans="1:21" s="270" customFormat="1">
      <c r="A59" s="278"/>
      <c r="B59" s="278"/>
      <c r="C59" s="278"/>
      <c r="D59" s="278"/>
      <c r="E59" s="278"/>
      <c r="F59" s="278" t="s">
        <v>276</v>
      </c>
      <c r="G59" s="279">
        <v>4100</v>
      </c>
      <c r="H59" s="280"/>
      <c r="I59" s="279">
        <v>7275</v>
      </c>
      <c r="J59" s="280"/>
      <c r="K59" s="281">
        <f>4100+13312.5</f>
        <v>17412.5</v>
      </c>
      <c r="L59" s="279">
        <v>3100</v>
      </c>
      <c r="M59" s="279">
        <v>2100</v>
      </c>
      <c r="N59" s="279">
        <v>2100</v>
      </c>
      <c r="O59" s="279">
        <v>2100</v>
      </c>
      <c r="P59" s="279">
        <v>2100</v>
      </c>
      <c r="Q59" s="279">
        <v>2100</v>
      </c>
      <c r="R59" s="279">
        <v>2100</v>
      </c>
      <c r="S59" s="279"/>
      <c r="T59" s="279"/>
      <c r="U59" s="279">
        <f t="shared" si="10"/>
        <v>44487.5</v>
      </c>
    </row>
    <row r="60" spans="1:21">
      <c r="A60" s="252"/>
      <c r="B60" s="252"/>
      <c r="C60" s="252"/>
      <c r="D60" s="252"/>
      <c r="E60" s="252"/>
      <c r="F60" s="252" t="s">
        <v>277</v>
      </c>
      <c r="G60" s="253">
        <v>399.47</v>
      </c>
      <c r="H60" s="254"/>
      <c r="I60" s="253">
        <v>245.53</v>
      </c>
      <c r="J60" s="254"/>
      <c r="K60" s="253">
        <v>245.53</v>
      </c>
      <c r="L60" s="253">
        <v>245.53</v>
      </c>
      <c r="M60" s="253">
        <v>245.53</v>
      </c>
      <c r="N60" s="253">
        <v>245.53</v>
      </c>
      <c r="O60" s="253">
        <v>245.53</v>
      </c>
      <c r="P60" s="253">
        <v>245.53</v>
      </c>
      <c r="Q60" s="253">
        <v>245.53</v>
      </c>
      <c r="R60" s="253">
        <v>245.53</v>
      </c>
      <c r="S60" s="253">
        <v>245.53</v>
      </c>
      <c r="T60" s="253">
        <v>245.53</v>
      </c>
      <c r="U60" s="253">
        <f t="shared" si="10"/>
        <v>3100.3</v>
      </c>
    </row>
    <row r="61" spans="1:21">
      <c r="A61" s="252"/>
      <c r="B61" s="252"/>
      <c r="C61" s="252"/>
      <c r="D61" s="252"/>
      <c r="E61" s="252"/>
      <c r="F61" s="252" t="s">
        <v>278</v>
      </c>
      <c r="G61" s="253">
        <v>72</v>
      </c>
      <c r="H61" s="254"/>
      <c r="I61" s="253">
        <v>360</v>
      </c>
      <c r="J61" s="254"/>
      <c r="K61" s="253">
        <v>0</v>
      </c>
      <c r="L61" s="253">
        <v>0</v>
      </c>
      <c r="M61" s="253">
        <v>0</v>
      </c>
      <c r="N61" s="253">
        <v>0</v>
      </c>
      <c r="O61" s="253">
        <v>0</v>
      </c>
      <c r="P61" s="253">
        <v>0</v>
      </c>
      <c r="Q61" s="253">
        <v>0</v>
      </c>
      <c r="R61" s="253">
        <v>0</v>
      </c>
      <c r="S61" s="253">
        <v>0</v>
      </c>
      <c r="T61" s="253">
        <v>0</v>
      </c>
      <c r="U61" s="253">
        <f t="shared" si="10"/>
        <v>432</v>
      </c>
    </row>
    <row r="62" spans="1:21">
      <c r="A62" s="252"/>
      <c r="B62" s="252"/>
      <c r="C62" s="252"/>
      <c r="D62" s="252"/>
      <c r="E62" s="252"/>
      <c r="F62" s="252" t="s">
        <v>279</v>
      </c>
      <c r="G62" s="253">
        <v>0</v>
      </c>
      <c r="H62" s="254"/>
      <c r="I62" s="253">
        <v>4190</v>
      </c>
      <c r="J62" s="254"/>
      <c r="K62" s="253">
        <v>5390</v>
      </c>
      <c r="L62" s="253">
        <v>3000</v>
      </c>
      <c r="M62" s="253">
        <v>3000</v>
      </c>
      <c r="N62" s="253">
        <v>3000</v>
      </c>
      <c r="O62" s="253">
        <v>3000</v>
      </c>
      <c r="P62" s="253">
        <v>3000</v>
      </c>
      <c r="Q62" s="253">
        <v>3000</v>
      </c>
      <c r="R62" s="253">
        <v>3000</v>
      </c>
      <c r="S62" s="253">
        <v>3000</v>
      </c>
      <c r="T62" s="253"/>
      <c r="U62" s="253">
        <f t="shared" si="10"/>
        <v>33580</v>
      </c>
    </row>
    <row r="63" spans="1:21">
      <c r="A63" s="252"/>
      <c r="B63" s="252"/>
      <c r="C63" s="252"/>
      <c r="D63" s="252"/>
      <c r="E63" s="252"/>
      <c r="F63" s="252" t="s">
        <v>280</v>
      </c>
      <c r="G63" s="253">
        <v>355.54</v>
      </c>
      <c r="H63" s="254"/>
      <c r="I63" s="253">
        <v>409.11</v>
      </c>
      <c r="J63" s="254"/>
      <c r="K63" s="253">
        <v>412.97</v>
      </c>
      <c r="L63" s="253">
        <v>412.97</v>
      </c>
      <c r="M63" s="253">
        <v>412.97</v>
      </c>
      <c r="N63" s="253">
        <v>412.97</v>
      </c>
      <c r="O63" s="253">
        <v>412.97</v>
      </c>
      <c r="P63" s="253">
        <v>412.97</v>
      </c>
      <c r="Q63" s="253">
        <v>412.97</v>
      </c>
      <c r="R63" s="253">
        <v>412.97</v>
      </c>
      <c r="S63" s="253">
        <v>412.97</v>
      </c>
      <c r="T63" s="253">
        <v>412.97</v>
      </c>
      <c r="U63" s="253">
        <f t="shared" si="10"/>
        <v>4894.3500000000004</v>
      </c>
    </row>
    <row r="64" spans="1:21">
      <c r="A64" s="252"/>
      <c r="B64" s="252"/>
      <c r="C64" s="252"/>
      <c r="D64" s="252"/>
      <c r="E64" s="252"/>
      <c r="F64" s="252" t="s">
        <v>281</v>
      </c>
      <c r="G64" s="253">
        <v>713.51</v>
      </c>
      <c r="H64" s="254"/>
      <c r="I64" s="253">
        <v>302</v>
      </c>
      <c r="J64" s="254"/>
      <c r="K64" s="253">
        <v>0</v>
      </c>
      <c r="L64" s="253">
        <v>0</v>
      </c>
      <c r="M64" s="253">
        <v>0</v>
      </c>
      <c r="N64" s="253">
        <v>0</v>
      </c>
      <c r="O64" s="253">
        <v>0</v>
      </c>
      <c r="P64" s="253">
        <v>0</v>
      </c>
      <c r="Q64" s="253">
        <v>0</v>
      </c>
      <c r="R64" s="253">
        <v>0</v>
      </c>
      <c r="S64" s="253">
        <v>0</v>
      </c>
      <c r="T64" s="253">
        <v>0</v>
      </c>
      <c r="U64" s="253">
        <f t="shared" si="10"/>
        <v>1015.51</v>
      </c>
    </row>
    <row r="65" spans="1:21" s="270" customFormat="1">
      <c r="A65" s="267"/>
      <c r="B65" s="267"/>
      <c r="C65" s="267"/>
      <c r="D65" s="267"/>
      <c r="E65" s="267"/>
      <c r="F65" s="267" t="s">
        <v>282</v>
      </c>
      <c r="G65" s="268">
        <v>0</v>
      </c>
      <c r="H65" s="269"/>
      <c r="I65" s="268">
        <v>0</v>
      </c>
      <c r="J65" s="269"/>
      <c r="K65" s="268">
        <v>0</v>
      </c>
      <c r="L65" s="268">
        <v>0</v>
      </c>
      <c r="M65" s="268">
        <v>0</v>
      </c>
      <c r="N65" s="268">
        <v>0</v>
      </c>
      <c r="O65" s="268">
        <v>0</v>
      </c>
      <c r="P65" s="268">
        <v>0</v>
      </c>
      <c r="Q65" s="268">
        <v>0</v>
      </c>
      <c r="R65" s="268">
        <v>0</v>
      </c>
      <c r="S65" s="268">
        <v>0</v>
      </c>
      <c r="T65" s="268">
        <v>0</v>
      </c>
      <c r="U65" s="268">
        <v>0</v>
      </c>
    </row>
    <row r="66" spans="1:21">
      <c r="A66" s="252"/>
      <c r="B66" s="252"/>
      <c r="C66" s="252"/>
      <c r="D66" s="252"/>
      <c r="E66" s="252"/>
      <c r="F66" s="252" t="s">
        <v>283</v>
      </c>
      <c r="G66" s="253">
        <v>0</v>
      </c>
      <c r="H66" s="254"/>
      <c r="I66" s="253">
        <v>819</v>
      </c>
      <c r="J66" s="254"/>
      <c r="K66" s="253">
        <v>0</v>
      </c>
      <c r="L66" s="253">
        <v>0</v>
      </c>
      <c r="M66" s="253">
        <v>0</v>
      </c>
      <c r="N66" s="253">
        <v>0</v>
      </c>
      <c r="O66" s="253">
        <v>0</v>
      </c>
      <c r="P66" s="253">
        <v>0</v>
      </c>
      <c r="Q66" s="253">
        <v>0</v>
      </c>
      <c r="R66" s="253">
        <v>0</v>
      </c>
      <c r="S66" s="253">
        <v>0</v>
      </c>
      <c r="T66" s="253">
        <v>0</v>
      </c>
      <c r="U66" s="253">
        <f>ROUND(SUM(G66:T66),5)</f>
        <v>819</v>
      </c>
    </row>
    <row r="67" spans="1:21" s="270" customFormat="1">
      <c r="A67" s="267"/>
      <c r="B67" s="267"/>
      <c r="C67" s="267"/>
      <c r="D67" s="267"/>
      <c r="E67" s="267"/>
      <c r="F67" s="267" t="s">
        <v>284</v>
      </c>
      <c r="G67" s="268">
        <v>13107.25</v>
      </c>
      <c r="H67" s="269"/>
      <c r="I67" s="268">
        <v>6500</v>
      </c>
      <c r="J67" s="269"/>
      <c r="K67" s="268">
        <v>6500</v>
      </c>
      <c r="L67" s="268">
        <v>6500</v>
      </c>
      <c r="M67" s="268">
        <v>6500</v>
      </c>
      <c r="N67" s="268">
        <v>6500</v>
      </c>
      <c r="O67" s="268">
        <v>6500</v>
      </c>
      <c r="P67" s="268">
        <v>6500</v>
      </c>
      <c r="Q67" s="268">
        <v>6500</v>
      </c>
      <c r="R67" s="268">
        <v>6500</v>
      </c>
      <c r="S67" s="268">
        <v>6500</v>
      </c>
      <c r="T67" s="268">
        <v>6500</v>
      </c>
      <c r="U67" s="253">
        <f>ROUND(SUM(G67:T67),5)</f>
        <v>84607.25</v>
      </c>
    </row>
    <row r="68" spans="1:21">
      <c r="A68" s="252"/>
      <c r="B68" s="252"/>
      <c r="C68" s="252"/>
      <c r="D68" s="252"/>
      <c r="E68" s="252"/>
      <c r="F68" s="252" t="s">
        <v>285</v>
      </c>
      <c r="G68" s="253">
        <v>156.9</v>
      </c>
      <c r="H68" s="254"/>
      <c r="I68" s="253">
        <v>0</v>
      </c>
      <c r="J68" s="254"/>
      <c r="K68" s="253">
        <v>2504.6</v>
      </c>
      <c r="L68" s="253">
        <v>169.06</v>
      </c>
      <c r="M68" s="253">
        <v>169.06</v>
      </c>
      <c r="N68" s="253">
        <v>169.06</v>
      </c>
      <c r="O68" s="253">
        <v>169.06</v>
      </c>
      <c r="P68" s="253">
        <v>169.06</v>
      </c>
      <c r="Q68" s="253">
        <v>169.06</v>
      </c>
      <c r="R68" s="253">
        <v>169.06</v>
      </c>
      <c r="S68" s="253">
        <v>169.06</v>
      </c>
      <c r="T68" s="253">
        <v>169.06</v>
      </c>
      <c r="U68" s="253">
        <f t="shared" ref="U68:U77" si="11">ROUND(SUM(G68:T68),5)</f>
        <v>4183.04</v>
      </c>
    </row>
    <row r="69" spans="1:21">
      <c r="A69" s="252"/>
      <c r="B69" s="252"/>
      <c r="C69" s="252"/>
      <c r="D69" s="252"/>
      <c r="E69" s="252"/>
      <c r="F69" s="252" t="s">
        <v>286</v>
      </c>
      <c r="G69" s="253">
        <v>170</v>
      </c>
      <c r="H69" s="254"/>
      <c r="I69" s="253">
        <v>0</v>
      </c>
      <c r="J69" s="254"/>
      <c r="K69" s="253">
        <v>85</v>
      </c>
      <c r="L69" s="253">
        <v>0</v>
      </c>
      <c r="M69" s="253">
        <v>0</v>
      </c>
      <c r="N69" s="253">
        <v>0</v>
      </c>
      <c r="O69" s="253">
        <v>0</v>
      </c>
      <c r="P69" s="253">
        <v>0</v>
      </c>
      <c r="Q69" s="253">
        <v>0</v>
      </c>
      <c r="R69" s="253">
        <v>0</v>
      </c>
      <c r="S69" s="253">
        <v>0</v>
      </c>
      <c r="T69" s="253">
        <v>0</v>
      </c>
      <c r="U69" s="253">
        <f t="shared" si="11"/>
        <v>255</v>
      </c>
    </row>
    <row r="70" spans="1:21">
      <c r="A70" s="252"/>
      <c r="B70" s="252"/>
      <c r="C70" s="252"/>
      <c r="D70" s="252"/>
      <c r="E70" s="252"/>
      <c r="F70" s="252" t="s">
        <v>287</v>
      </c>
      <c r="G70" s="253">
        <v>1204.2</v>
      </c>
      <c r="H70" s="254"/>
      <c r="I70" s="253">
        <v>1204.2</v>
      </c>
      <c r="J70" s="254"/>
      <c r="K70" s="253">
        <v>1204.2</v>
      </c>
      <c r="L70" s="253">
        <v>1204.2</v>
      </c>
      <c r="M70" s="253">
        <v>1204.2</v>
      </c>
      <c r="N70" s="253">
        <v>1204.2</v>
      </c>
      <c r="O70" s="253">
        <v>1204.2</v>
      </c>
      <c r="P70" s="253">
        <v>1204.2</v>
      </c>
      <c r="Q70" s="282">
        <v>1204.2</v>
      </c>
      <c r="R70" s="282">
        <v>1204.2</v>
      </c>
      <c r="S70" s="282">
        <v>1204.2</v>
      </c>
      <c r="T70" s="282">
        <v>1204.2</v>
      </c>
      <c r="U70" s="253">
        <f t="shared" si="11"/>
        <v>14450.4</v>
      </c>
    </row>
    <row r="71" spans="1:21">
      <c r="A71" s="252"/>
      <c r="B71" s="252"/>
      <c r="C71" s="252"/>
      <c r="D71" s="252"/>
      <c r="E71" s="252"/>
      <c r="F71" s="252" t="s">
        <v>288</v>
      </c>
      <c r="G71" s="253">
        <v>6.99</v>
      </c>
      <c r="H71" s="254"/>
      <c r="I71" s="253">
        <v>0</v>
      </c>
      <c r="J71" s="254"/>
      <c r="K71" s="253">
        <v>0</v>
      </c>
      <c r="L71" s="253">
        <v>6.99</v>
      </c>
      <c r="M71" s="253">
        <v>0</v>
      </c>
      <c r="N71" s="253">
        <v>0</v>
      </c>
      <c r="O71" s="253">
        <v>6.99</v>
      </c>
      <c r="P71" s="253">
        <v>0</v>
      </c>
      <c r="Q71" s="253">
        <v>0</v>
      </c>
      <c r="R71" s="253">
        <v>6.99</v>
      </c>
      <c r="S71" s="253">
        <v>0</v>
      </c>
      <c r="T71" s="253">
        <v>0</v>
      </c>
      <c r="U71" s="253">
        <f t="shared" si="11"/>
        <v>27.96</v>
      </c>
    </row>
    <row r="72" spans="1:21">
      <c r="A72" s="252"/>
      <c r="B72" s="252"/>
      <c r="C72" s="252"/>
      <c r="D72" s="252"/>
      <c r="E72" s="252"/>
      <c r="F72" s="252" t="s">
        <v>289</v>
      </c>
      <c r="G72" s="253">
        <v>6110.77</v>
      </c>
      <c r="H72" s="254"/>
      <c r="I72" s="253">
        <v>63</v>
      </c>
      <c r="J72" s="254"/>
      <c r="K72" s="253">
        <v>0</v>
      </c>
      <c r="L72" s="253">
        <v>0</v>
      </c>
      <c r="M72" s="253">
        <v>0</v>
      </c>
      <c r="N72" s="253">
        <v>0</v>
      </c>
      <c r="O72" s="253">
        <v>0</v>
      </c>
      <c r="P72" s="253">
        <v>0</v>
      </c>
      <c r="Q72" s="253">
        <v>0</v>
      </c>
      <c r="R72" s="253">
        <v>0</v>
      </c>
      <c r="S72" s="253">
        <v>0</v>
      </c>
      <c r="T72" s="253">
        <v>0</v>
      </c>
      <c r="U72" s="253">
        <f t="shared" si="11"/>
        <v>6173.77</v>
      </c>
    </row>
    <row r="73" spans="1:21">
      <c r="A73" s="252"/>
      <c r="B73" s="252"/>
      <c r="C73" s="252"/>
      <c r="D73" s="252"/>
      <c r="E73" s="252"/>
      <c r="F73" s="252" t="s">
        <v>290</v>
      </c>
      <c r="G73" s="253">
        <v>113.94</v>
      </c>
      <c r="H73" s="254"/>
      <c r="I73" s="253">
        <v>0</v>
      </c>
      <c r="J73" s="254"/>
      <c r="K73" s="253">
        <v>0</v>
      </c>
      <c r="L73" s="253">
        <v>0</v>
      </c>
      <c r="M73" s="253">
        <v>0</v>
      </c>
      <c r="N73" s="253">
        <v>0</v>
      </c>
      <c r="O73" s="253">
        <v>0</v>
      </c>
      <c r="P73" s="253">
        <v>0</v>
      </c>
      <c r="Q73" s="253">
        <v>0</v>
      </c>
      <c r="R73" s="253">
        <v>0</v>
      </c>
      <c r="S73" s="253">
        <v>0</v>
      </c>
      <c r="T73" s="253">
        <v>0</v>
      </c>
      <c r="U73" s="253">
        <f t="shared" si="11"/>
        <v>113.94</v>
      </c>
    </row>
    <row r="74" spans="1:21">
      <c r="A74" s="252"/>
      <c r="B74" s="252"/>
      <c r="C74" s="252"/>
      <c r="D74" s="252"/>
      <c r="E74" s="252"/>
      <c r="F74" s="252" t="s">
        <v>291</v>
      </c>
      <c r="G74" s="253">
        <v>1865.55</v>
      </c>
      <c r="H74" s="254"/>
      <c r="I74" s="253">
        <v>1914.29</v>
      </c>
      <c r="J74" s="254"/>
      <c r="K74" s="253">
        <v>1914.29</v>
      </c>
      <c r="L74" s="253">
        <v>1914.29</v>
      </c>
      <c r="M74" s="253">
        <v>1914.29</v>
      </c>
      <c r="N74" s="253">
        <v>1914.29</v>
      </c>
      <c r="O74" s="253">
        <v>1914.29</v>
      </c>
      <c r="P74" s="253">
        <v>1914.29</v>
      </c>
      <c r="Q74" s="253">
        <v>1914.29</v>
      </c>
      <c r="R74" s="253">
        <v>1914.29</v>
      </c>
      <c r="S74" s="253">
        <v>1914.29</v>
      </c>
      <c r="T74" s="253">
        <v>957</v>
      </c>
      <c r="U74" s="253">
        <f t="shared" si="11"/>
        <v>21965.45</v>
      </c>
    </row>
    <row r="75" spans="1:21">
      <c r="A75" s="252"/>
      <c r="B75" s="252"/>
      <c r="C75" s="252"/>
      <c r="D75" s="252"/>
      <c r="E75" s="252"/>
      <c r="F75" s="252" t="s">
        <v>65</v>
      </c>
      <c r="G75" s="253"/>
      <c r="H75" s="254"/>
      <c r="I75" s="253"/>
      <c r="J75" s="254"/>
      <c r="K75" s="253">
        <v>34000</v>
      </c>
      <c r="L75" s="253"/>
      <c r="M75" s="253"/>
      <c r="N75" s="253"/>
      <c r="O75" s="253"/>
      <c r="P75" s="253"/>
      <c r="Q75" s="253"/>
      <c r="R75" s="253"/>
      <c r="S75" s="253"/>
      <c r="T75" s="253"/>
      <c r="U75" s="253">
        <f t="shared" si="11"/>
        <v>34000</v>
      </c>
    </row>
    <row r="76" spans="1:21">
      <c r="A76" s="252"/>
      <c r="B76" s="252"/>
      <c r="C76" s="252"/>
      <c r="D76" s="252"/>
      <c r="E76" s="252"/>
      <c r="F76" s="252" t="s">
        <v>292</v>
      </c>
      <c r="G76" s="253">
        <v>331.88</v>
      </c>
      <c r="H76" s="254"/>
      <c r="I76" s="253">
        <v>337.59</v>
      </c>
      <c r="J76" s="254"/>
      <c r="K76" s="253">
        <v>337.59</v>
      </c>
      <c r="L76" s="253">
        <v>337.59</v>
      </c>
      <c r="M76" s="253">
        <v>337.59</v>
      </c>
      <c r="N76" s="253">
        <v>337.59</v>
      </c>
      <c r="O76" s="253">
        <v>337.59</v>
      </c>
      <c r="P76" s="253">
        <v>337.59</v>
      </c>
      <c r="Q76" s="253">
        <v>337.59</v>
      </c>
      <c r="R76" s="253">
        <v>337.59</v>
      </c>
      <c r="S76" s="253">
        <v>337.59</v>
      </c>
      <c r="T76" s="253">
        <v>337.59</v>
      </c>
      <c r="U76" s="253">
        <f t="shared" si="11"/>
        <v>4045.37</v>
      </c>
    </row>
    <row r="77" spans="1:21">
      <c r="A77" s="252"/>
      <c r="B77" s="252"/>
      <c r="C77" s="252"/>
      <c r="D77" s="252"/>
      <c r="E77" s="252"/>
      <c r="F77" s="267" t="s">
        <v>293</v>
      </c>
      <c r="G77" s="268">
        <v>47423.24</v>
      </c>
      <c r="H77" s="254"/>
      <c r="I77" s="253"/>
      <c r="J77" s="254"/>
      <c r="K77" s="253"/>
      <c r="L77" s="253"/>
      <c r="M77" s="253"/>
      <c r="N77" s="253"/>
      <c r="O77" s="253"/>
      <c r="P77" s="253"/>
      <c r="Q77" s="253"/>
      <c r="R77" s="253"/>
      <c r="S77" s="253"/>
      <c r="T77" s="253"/>
      <c r="U77" s="253">
        <f t="shared" si="11"/>
        <v>47423.24</v>
      </c>
    </row>
    <row r="78" spans="1:21">
      <c r="A78" s="252"/>
      <c r="B78" s="252"/>
      <c r="C78" s="252"/>
      <c r="D78" s="252"/>
      <c r="E78" s="252"/>
      <c r="F78" s="252" t="s">
        <v>294</v>
      </c>
      <c r="G78" s="253">
        <v>4195.7</v>
      </c>
      <c r="H78" s="254"/>
      <c r="I78" s="253">
        <v>8664.2000000000007</v>
      </c>
      <c r="J78" s="254"/>
      <c r="K78" s="253">
        <v>11198.58</v>
      </c>
      <c r="L78" s="253">
        <v>10200</v>
      </c>
      <c r="M78" s="253">
        <v>7000</v>
      </c>
      <c r="N78" s="253">
        <v>7000</v>
      </c>
      <c r="O78" s="253">
        <v>9000</v>
      </c>
      <c r="P78" s="253">
        <v>10200</v>
      </c>
      <c r="Q78" s="253">
        <v>7000</v>
      </c>
      <c r="R78" s="253">
        <v>10200</v>
      </c>
      <c r="S78" s="253">
        <v>10000</v>
      </c>
      <c r="T78" s="253"/>
      <c r="U78" s="253">
        <f>SUM(G78:T78)</f>
        <v>94658.48000000001</v>
      </c>
    </row>
    <row r="79" spans="1:21" s="270" customFormat="1" ht="15" thickBot="1">
      <c r="A79" s="267"/>
      <c r="B79" s="267"/>
      <c r="C79" s="267"/>
      <c r="D79" s="267"/>
      <c r="E79" s="267"/>
      <c r="F79" s="267" t="s">
        <v>295</v>
      </c>
      <c r="G79" s="283">
        <v>0</v>
      </c>
      <c r="H79" s="269"/>
      <c r="I79" s="283">
        <v>4750</v>
      </c>
      <c r="J79" s="269"/>
      <c r="K79" s="283">
        <f>475*20</f>
        <v>9500</v>
      </c>
      <c r="L79" s="283">
        <v>6000</v>
      </c>
      <c r="M79" s="283">
        <v>6000</v>
      </c>
      <c r="N79" s="283">
        <v>4750</v>
      </c>
      <c r="O79" s="283">
        <v>6000</v>
      </c>
      <c r="P79" s="283">
        <v>6000</v>
      </c>
      <c r="Q79" s="283">
        <v>6000</v>
      </c>
      <c r="R79" s="283">
        <v>6000</v>
      </c>
      <c r="S79" s="283">
        <v>6000</v>
      </c>
      <c r="T79" s="283">
        <v>0</v>
      </c>
      <c r="U79" s="283">
        <f>ROUND(SUM(G79:T79),5)</f>
        <v>61000</v>
      </c>
    </row>
    <row r="80" spans="1:21">
      <c r="A80" s="252"/>
      <c r="B80" s="252"/>
      <c r="C80" s="252"/>
      <c r="D80" s="252"/>
      <c r="E80" s="252" t="s">
        <v>296</v>
      </c>
      <c r="F80" s="252"/>
      <c r="G80" s="253">
        <f>ROUND(SUM(G50:G79),5)</f>
        <v>101165.09</v>
      </c>
      <c r="H80" s="254"/>
      <c r="I80" s="253">
        <f>ROUND(SUM(I50:I79),5)</f>
        <v>48588.41</v>
      </c>
      <c r="J80" s="254"/>
      <c r="K80" s="253">
        <f>ROUND(SUM(K50:K79),5)</f>
        <v>102508.79</v>
      </c>
      <c r="L80" s="253">
        <f>ROUND(SUM(L50:L79),5)</f>
        <v>44047.63</v>
      </c>
      <c r="M80" s="253">
        <f t="shared" ref="M80:T80" si="12">ROUND(SUM(M50:M79),5)</f>
        <v>39040.639999999999</v>
      </c>
      <c r="N80" s="253">
        <f t="shared" si="12"/>
        <v>35915.64</v>
      </c>
      <c r="O80" s="253">
        <f t="shared" si="12"/>
        <v>41847.629999999997</v>
      </c>
      <c r="P80" s="253">
        <f t="shared" si="12"/>
        <v>42165.64</v>
      </c>
      <c r="Q80" s="253">
        <f t="shared" si="12"/>
        <v>39040.639999999999</v>
      </c>
      <c r="R80" s="253">
        <f t="shared" si="12"/>
        <v>43047.63</v>
      </c>
      <c r="S80" s="253">
        <f t="shared" si="12"/>
        <v>38940.639999999999</v>
      </c>
      <c r="T80" s="253">
        <f t="shared" si="12"/>
        <v>16108.35</v>
      </c>
      <c r="U80" s="253">
        <f>ROUND(SUM(G80:T80),5)</f>
        <v>592416.73</v>
      </c>
    </row>
    <row r="81" spans="1:23">
      <c r="A81" s="252"/>
      <c r="B81" s="252"/>
      <c r="C81" s="252"/>
      <c r="D81" s="252"/>
      <c r="E81" s="252" t="s">
        <v>297</v>
      </c>
      <c r="F81" s="252"/>
      <c r="G81" s="253"/>
      <c r="H81" s="254"/>
      <c r="I81" s="253"/>
      <c r="J81" s="254"/>
      <c r="K81" s="253"/>
      <c r="L81" s="253"/>
      <c r="M81" s="253"/>
      <c r="N81" s="253"/>
      <c r="O81" s="253"/>
      <c r="P81" s="253"/>
      <c r="Q81" s="253"/>
      <c r="R81" s="253"/>
      <c r="S81" s="253"/>
      <c r="T81" s="253"/>
      <c r="U81" s="253"/>
    </row>
    <row r="82" spans="1:23">
      <c r="A82" s="252"/>
      <c r="B82" s="252"/>
      <c r="C82" s="252"/>
      <c r="D82" s="252"/>
      <c r="E82" s="252"/>
      <c r="F82" s="252" t="s">
        <v>298</v>
      </c>
      <c r="G82" s="253">
        <v>0</v>
      </c>
      <c r="H82" s="254"/>
      <c r="I82" s="253">
        <v>5431.08</v>
      </c>
      <c r="J82" s="254"/>
      <c r="K82" s="253">
        <v>1578.65</v>
      </c>
      <c r="L82" s="253">
        <v>0</v>
      </c>
      <c r="M82" s="253">
        <v>0</v>
      </c>
      <c r="N82" s="253">
        <v>0</v>
      </c>
      <c r="O82" s="253">
        <v>0</v>
      </c>
      <c r="P82" s="253">
        <v>0</v>
      </c>
      <c r="Q82" s="253">
        <v>0</v>
      </c>
      <c r="R82" s="253">
        <v>0</v>
      </c>
      <c r="S82" s="253">
        <v>0</v>
      </c>
      <c r="T82" s="253">
        <v>0</v>
      </c>
      <c r="U82" s="253">
        <f t="shared" ref="U82:U87" si="13">ROUND(SUM(G82:T82),5)</f>
        <v>7009.73</v>
      </c>
    </row>
    <row r="83" spans="1:23">
      <c r="A83" s="252"/>
      <c r="B83" s="252"/>
      <c r="C83" s="252"/>
      <c r="D83" s="252"/>
      <c r="E83" s="252"/>
      <c r="F83" s="252" t="s">
        <v>299</v>
      </c>
      <c r="G83" s="253">
        <v>168.81</v>
      </c>
      <c r="H83" s="254"/>
      <c r="I83" s="253">
        <v>850.24</v>
      </c>
      <c r="J83" s="254"/>
      <c r="K83" s="253">
        <v>7</v>
      </c>
      <c r="L83" s="253">
        <v>400</v>
      </c>
      <c r="M83" s="253">
        <v>200</v>
      </c>
      <c r="N83" s="253">
        <v>400</v>
      </c>
      <c r="O83" s="253">
        <v>400</v>
      </c>
      <c r="P83" s="253">
        <v>400</v>
      </c>
      <c r="Q83" s="253">
        <v>400</v>
      </c>
      <c r="R83" s="253">
        <v>400</v>
      </c>
      <c r="S83" s="253">
        <v>400</v>
      </c>
      <c r="T83" s="253">
        <v>0</v>
      </c>
      <c r="U83" s="253">
        <f t="shared" si="13"/>
        <v>4026.05</v>
      </c>
    </row>
    <row r="84" spans="1:23">
      <c r="A84" s="252"/>
      <c r="B84" s="252"/>
      <c r="C84" s="252"/>
      <c r="D84" s="252"/>
      <c r="E84" s="252"/>
      <c r="F84" s="252" t="s">
        <v>300</v>
      </c>
      <c r="G84" s="253">
        <v>0</v>
      </c>
      <c r="H84" s="254"/>
      <c r="I84" s="253">
        <v>936.62</v>
      </c>
      <c r="J84" s="254"/>
      <c r="K84" s="253">
        <v>3</v>
      </c>
      <c r="L84" s="253">
        <v>0</v>
      </c>
      <c r="M84" s="253">
        <v>0</v>
      </c>
      <c r="N84" s="253">
        <v>0</v>
      </c>
      <c r="O84" s="253">
        <v>0</v>
      </c>
      <c r="P84" s="253">
        <v>0</v>
      </c>
      <c r="Q84" s="253">
        <v>0</v>
      </c>
      <c r="R84" s="253">
        <v>0</v>
      </c>
      <c r="S84" s="253">
        <v>0</v>
      </c>
      <c r="T84" s="253">
        <v>0</v>
      </c>
      <c r="U84" s="253">
        <f t="shared" si="13"/>
        <v>939.62</v>
      </c>
    </row>
    <row r="85" spans="1:23">
      <c r="A85" s="252"/>
      <c r="B85" s="252"/>
      <c r="C85" s="252"/>
      <c r="D85" s="252"/>
      <c r="E85" s="252"/>
      <c r="F85" s="252" t="s">
        <v>301</v>
      </c>
      <c r="G85" s="253">
        <v>0</v>
      </c>
      <c r="H85" s="254"/>
      <c r="I85" s="253">
        <v>643</v>
      </c>
      <c r="J85" s="254"/>
      <c r="K85" s="253">
        <v>0</v>
      </c>
      <c r="L85" s="253">
        <v>0</v>
      </c>
      <c r="M85" s="253">
        <v>0</v>
      </c>
      <c r="N85" s="253">
        <v>0</v>
      </c>
      <c r="O85" s="253">
        <v>0</v>
      </c>
      <c r="P85" s="253">
        <v>0</v>
      </c>
      <c r="Q85" s="253">
        <v>0</v>
      </c>
      <c r="R85" s="253">
        <v>0</v>
      </c>
      <c r="S85" s="253">
        <v>0</v>
      </c>
      <c r="T85" s="253">
        <v>0</v>
      </c>
      <c r="U85" s="253">
        <f t="shared" si="13"/>
        <v>643</v>
      </c>
    </row>
    <row r="86" spans="1:23" ht="15" thickBot="1">
      <c r="A86" s="252"/>
      <c r="B86" s="252"/>
      <c r="C86" s="252"/>
      <c r="D86" s="252"/>
      <c r="E86" s="252"/>
      <c r="F86" s="252" t="s">
        <v>302</v>
      </c>
      <c r="G86" s="255">
        <v>0</v>
      </c>
      <c r="H86" s="254"/>
      <c r="I86" s="255">
        <v>400</v>
      </c>
      <c r="J86" s="254"/>
      <c r="K86" s="255">
        <v>0</v>
      </c>
      <c r="L86" s="255">
        <v>0</v>
      </c>
      <c r="M86" s="255">
        <v>0</v>
      </c>
      <c r="N86" s="255">
        <v>0</v>
      </c>
      <c r="O86" s="255">
        <v>0</v>
      </c>
      <c r="P86" s="255">
        <v>0</v>
      </c>
      <c r="Q86" s="255">
        <v>0</v>
      </c>
      <c r="R86" s="255">
        <v>0</v>
      </c>
      <c r="S86" s="255">
        <v>0</v>
      </c>
      <c r="T86" s="255">
        <v>0</v>
      </c>
      <c r="U86" s="255">
        <f t="shared" si="13"/>
        <v>400</v>
      </c>
    </row>
    <row r="87" spans="1:23">
      <c r="A87" s="252"/>
      <c r="B87" s="252"/>
      <c r="C87" s="252"/>
      <c r="D87" s="252"/>
      <c r="E87" s="252" t="s">
        <v>303</v>
      </c>
      <c r="F87" s="252"/>
      <c r="G87" s="253">
        <f>ROUND(SUM(G81:G86),5)</f>
        <v>168.81</v>
      </c>
      <c r="H87" s="254"/>
      <c r="I87" s="253">
        <f>ROUND(SUM(I81:I86),5)</f>
        <v>8260.94</v>
      </c>
      <c r="J87" s="254"/>
      <c r="K87" s="253">
        <f>ROUND(SUM(K81:K86),5)</f>
        <v>1588.65</v>
      </c>
      <c r="L87" s="253">
        <f>ROUND(SUM(L81:L86),5)</f>
        <v>400</v>
      </c>
      <c r="M87" s="253">
        <f t="shared" ref="M87:T87" si="14">ROUND(SUM(M81:M86),5)</f>
        <v>200</v>
      </c>
      <c r="N87" s="253">
        <f t="shared" si="14"/>
        <v>400</v>
      </c>
      <c r="O87" s="253">
        <f t="shared" si="14"/>
        <v>400</v>
      </c>
      <c r="P87" s="253">
        <f t="shared" si="14"/>
        <v>400</v>
      </c>
      <c r="Q87" s="253">
        <f t="shared" si="14"/>
        <v>400</v>
      </c>
      <c r="R87" s="253">
        <f t="shared" si="14"/>
        <v>400</v>
      </c>
      <c r="S87" s="253">
        <f t="shared" si="14"/>
        <v>400</v>
      </c>
      <c r="T87" s="253">
        <f t="shared" si="14"/>
        <v>0</v>
      </c>
      <c r="U87" s="253">
        <f t="shared" si="13"/>
        <v>13018.4</v>
      </c>
    </row>
    <row r="88" spans="1:23">
      <c r="A88" s="252"/>
      <c r="B88" s="252"/>
      <c r="C88" s="252"/>
      <c r="D88" s="252"/>
      <c r="E88" s="252" t="s">
        <v>304</v>
      </c>
      <c r="F88" s="252"/>
      <c r="G88" s="253"/>
      <c r="H88" s="254"/>
      <c r="I88" s="253"/>
      <c r="J88" s="254"/>
      <c r="K88" s="253"/>
      <c r="L88" s="253"/>
      <c r="M88" s="253"/>
      <c r="N88" s="253"/>
      <c r="O88" s="253"/>
      <c r="P88" s="253"/>
      <c r="Q88" s="253"/>
      <c r="R88" s="253"/>
      <c r="S88" s="253"/>
      <c r="T88" s="253"/>
      <c r="U88" s="253"/>
    </row>
    <row r="89" spans="1:23">
      <c r="A89" s="252"/>
      <c r="B89" s="252"/>
      <c r="C89" s="252"/>
      <c r="D89" s="252"/>
      <c r="E89" s="252"/>
      <c r="F89" s="252" t="s">
        <v>305</v>
      </c>
      <c r="G89" s="253">
        <v>64.569999999999993</v>
      </c>
      <c r="H89" s="254"/>
      <c r="I89" s="253">
        <v>91.39</v>
      </c>
      <c r="J89" s="254"/>
      <c r="K89" s="253">
        <v>13.23</v>
      </c>
      <c r="L89" s="253">
        <v>0</v>
      </c>
      <c r="M89" s="253">
        <v>0</v>
      </c>
      <c r="N89" s="253">
        <v>0</v>
      </c>
      <c r="O89" s="253">
        <v>0</v>
      </c>
      <c r="P89" s="253">
        <v>0</v>
      </c>
      <c r="Q89" s="253">
        <v>0</v>
      </c>
      <c r="R89" s="253">
        <v>0</v>
      </c>
      <c r="S89" s="253">
        <v>0</v>
      </c>
      <c r="T89" s="253">
        <v>0</v>
      </c>
      <c r="U89" s="253">
        <f>ROUND(SUM(G89:T89),5)</f>
        <v>169.19</v>
      </c>
    </row>
    <row r="90" spans="1:23" s="270" customFormat="1">
      <c r="A90" s="267" t="s">
        <v>306</v>
      </c>
      <c r="B90" s="267"/>
      <c r="C90" s="267"/>
      <c r="D90" s="267"/>
      <c r="E90" s="267"/>
      <c r="F90" s="267" t="s">
        <v>307</v>
      </c>
      <c r="G90" s="268">
        <v>2.4900000000000002</v>
      </c>
      <c r="H90" s="269"/>
      <c r="I90" s="268">
        <v>1987.1</v>
      </c>
      <c r="J90" s="269"/>
      <c r="K90" s="268">
        <v>3595.44</v>
      </c>
      <c r="L90" s="268"/>
      <c r="M90" s="268"/>
      <c r="N90" s="268"/>
      <c r="O90" s="268"/>
      <c r="P90" s="268"/>
      <c r="Q90" s="268"/>
      <c r="R90" s="268"/>
      <c r="S90" s="268"/>
      <c r="T90" s="268"/>
      <c r="U90" s="268"/>
    </row>
    <row r="91" spans="1:23">
      <c r="A91" s="252"/>
      <c r="B91" s="252"/>
      <c r="C91" s="252"/>
      <c r="D91" s="252"/>
      <c r="E91" s="252"/>
      <c r="F91" s="252" t="s">
        <v>308</v>
      </c>
      <c r="G91" s="253">
        <v>0</v>
      </c>
      <c r="H91" s="254"/>
      <c r="I91" s="253">
        <v>266</v>
      </c>
      <c r="J91" s="254"/>
      <c r="K91" s="253">
        <v>0</v>
      </c>
      <c r="L91" s="253">
        <v>0</v>
      </c>
      <c r="M91" s="253">
        <v>0</v>
      </c>
      <c r="N91" s="253">
        <v>0</v>
      </c>
      <c r="O91" s="253">
        <v>0</v>
      </c>
      <c r="P91" s="253">
        <v>0</v>
      </c>
      <c r="Q91" s="253">
        <v>0</v>
      </c>
      <c r="R91" s="253">
        <v>0</v>
      </c>
      <c r="S91" s="253">
        <v>0</v>
      </c>
      <c r="T91" s="253">
        <v>0</v>
      </c>
      <c r="U91" s="253">
        <f>ROUND(SUM(G91:T91),5)</f>
        <v>266</v>
      </c>
    </row>
    <row r="92" spans="1:23" s="270" customFormat="1" ht="15" thickBot="1">
      <c r="A92" s="267"/>
      <c r="B92" s="267"/>
      <c r="C92" s="267"/>
      <c r="D92" s="267"/>
      <c r="E92" s="267"/>
      <c r="F92" s="267" t="s">
        <v>309</v>
      </c>
      <c r="G92" s="283">
        <v>257</v>
      </c>
      <c r="H92" s="269"/>
      <c r="I92" s="283">
        <v>0</v>
      </c>
      <c r="J92" s="269"/>
      <c r="K92" s="283">
        <v>0</v>
      </c>
      <c r="L92" s="283">
        <v>0</v>
      </c>
      <c r="M92" s="283">
        <v>0</v>
      </c>
      <c r="N92" s="283">
        <v>0</v>
      </c>
      <c r="O92" s="283">
        <v>0</v>
      </c>
      <c r="P92" s="283">
        <v>0</v>
      </c>
      <c r="Q92" s="283">
        <v>0</v>
      </c>
      <c r="R92" s="283">
        <v>0</v>
      </c>
      <c r="S92" s="283">
        <v>0</v>
      </c>
      <c r="T92" s="283">
        <v>0</v>
      </c>
      <c r="U92" s="283">
        <f>ROUND(SUM(G92:T92),5)</f>
        <v>257</v>
      </c>
    </row>
    <row r="93" spans="1:23" s="287" customFormat="1">
      <c r="A93" s="284"/>
      <c r="B93" s="284"/>
      <c r="C93" s="284"/>
      <c r="D93" s="284"/>
      <c r="E93" s="284" t="s">
        <v>310</v>
      </c>
      <c r="F93" s="284"/>
      <c r="G93" s="285">
        <f>ROUND(SUM(G88:G92),5)</f>
        <v>324.06</v>
      </c>
      <c r="H93" s="286"/>
      <c r="I93" s="285">
        <f>ROUND(SUM(I88:I92),5)</f>
        <v>2344.4899999999998</v>
      </c>
      <c r="J93" s="286"/>
      <c r="K93" s="285">
        <f>ROUND(SUM(K88:K92),5)</f>
        <v>3608.67</v>
      </c>
      <c r="L93" s="285">
        <f>ROUND(SUM(L88:L92),5)</f>
        <v>0</v>
      </c>
      <c r="M93" s="285"/>
      <c r="N93" s="285"/>
      <c r="O93" s="285"/>
      <c r="P93" s="285"/>
      <c r="Q93" s="285"/>
      <c r="R93" s="285"/>
      <c r="S93" s="285"/>
      <c r="T93" s="285"/>
      <c r="U93" s="285"/>
    </row>
    <row r="94" spans="1:23" ht="15" thickBot="1">
      <c r="A94" s="252"/>
      <c r="B94" s="252"/>
      <c r="C94" s="252"/>
      <c r="D94" s="252"/>
      <c r="E94" s="252" t="s">
        <v>311</v>
      </c>
      <c r="F94" s="252"/>
      <c r="G94" s="253">
        <v>0</v>
      </c>
      <c r="H94" s="254"/>
      <c r="I94" s="253">
        <v>0</v>
      </c>
      <c r="J94" s="254"/>
      <c r="K94" s="253">
        <v>9152.9599999999991</v>
      </c>
      <c r="L94" s="253">
        <v>0</v>
      </c>
      <c r="M94" s="253">
        <v>0</v>
      </c>
      <c r="N94" s="253">
        <v>0</v>
      </c>
      <c r="O94" s="253">
        <v>0</v>
      </c>
      <c r="P94" s="253">
        <v>0</v>
      </c>
      <c r="Q94" s="253">
        <v>0</v>
      </c>
      <c r="R94" s="253">
        <v>0</v>
      </c>
      <c r="S94" s="253">
        <v>0</v>
      </c>
      <c r="T94" s="253">
        <v>0</v>
      </c>
      <c r="U94" s="253">
        <f>ROUND(SUM(G94:T94),5)</f>
        <v>9152.9599999999991</v>
      </c>
    </row>
    <row r="95" spans="1:23" ht="15" thickBot="1">
      <c r="A95" s="252"/>
      <c r="B95" s="252"/>
      <c r="C95" s="252"/>
      <c r="D95" s="252" t="s">
        <v>312</v>
      </c>
      <c r="E95" s="252"/>
      <c r="F95" s="252"/>
      <c r="G95" s="288">
        <f>ROUND(G29+G41+G49+G80+G87+SUM(G93:G94),5)</f>
        <v>240106.15</v>
      </c>
      <c r="H95" s="254"/>
      <c r="I95" s="288">
        <f>ROUND(I29+I41+I49+I80+I87+SUM(I93:I94),5)</f>
        <v>199218.91</v>
      </c>
      <c r="J95" s="254"/>
      <c r="K95" s="288">
        <f>ROUND(K29+K41+K49+K80+K87+SUM(K93:K94),5)</f>
        <v>258458.13</v>
      </c>
      <c r="L95" s="288">
        <f>ROUND(L29+L41+L49+L80+L87+SUM(L93:L94),5)</f>
        <v>176408.28</v>
      </c>
      <c r="M95" s="288">
        <f t="shared" ref="M95:T95" si="15">ROUND(M29+M41+M49+M80+M87+SUM(M93:M94),5)</f>
        <v>131240.64000000001</v>
      </c>
      <c r="N95" s="288">
        <f t="shared" si="15"/>
        <v>128315.64</v>
      </c>
      <c r="O95" s="288">
        <f t="shared" si="15"/>
        <v>134247.63</v>
      </c>
      <c r="P95" s="288">
        <f t="shared" si="15"/>
        <v>134565.64000000001</v>
      </c>
      <c r="Q95" s="288">
        <f t="shared" si="15"/>
        <v>131440.64000000001</v>
      </c>
      <c r="R95" s="288">
        <f t="shared" si="15"/>
        <v>135447.63</v>
      </c>
      <c r="S95" s="288">
        <f t="shared" si="15"/>
        <v>131340.64000000001</v>
      </c>
      <c r="T95" s="288">
        <f t="shared" si="15"/>
        <v>108108.35</v>
      </c>
      <c r="U95" s="288">
        <f>ROUND(SUM(G95:T95),5)</f>
        <v>1908898.28</v>
      </c>
    </row>
    <row r="96" spans="1:23" ht="15" thickBot="1">
      <c r="A96" s="252"/>
      <c r="B96" s="252" t="s">
        <v>313</v>
      </c>
      <c r="C96" s="252"/>
      <c r="D96" s="252"/>
      <c r="E96" s="252"/>
      <c r="F96" s="252"/>
      <c r="G96" s="288">
        <f>ROUND(G8+G28-G95,5)</f>
        <v>-94356.34</v>
      </c>
      <c r="H96" s="254"/>
      <c r="I96" s="288">
        <f>ROUND(I8+I28-I95,5)</f>
        <v>-40481.03</v>
      </c>
      <c r="J96" s="254"/>
      <c r="K96" s="288">
        <f t="shared" ref="K96:T96" si="16">ROUND(K8+K28-K95,5)</f>
        <v>-86287.83</v>
      </c>
      <c r="L96" s="288">
        <f t="shared" si="16"/>
        <v>-21668.68</v>
      </c>
      <c r="M96" s="288">
        <f t="shared" si="16"/>
        <v>23498.959999999999</v>
      </c>
      <c r="N96" s="288">
        <f t="shared" si="16"/>
        <v>26423.96</v>
      </c>
      <c r="O96" s="288">
        <f t="shared" si="16"/>
        <v>25163.51</v>
      </c>
      <c r="P96" s="288">
        <f t="shared" si="16"/>
        <v>20173.96</v>
      </c>
      <c r="Q96" s="288">
        <f t="shared" si="16"/>
        <v>23298.959999999999</v>
      </c>
      <c r="R96" s="288">
        <f t="shared" si="16"/>
        <v>19291.97</v>
      </c>
      <c r="S96" s="288">
        <f t="shared" si="16"/>
        <v>23398.959999999999</v>
      </c>
      <c r="T96" s="288">
        <f t="shared" si="16"/>
        <v>62725.68</v>
      </c>
      <c r="U96" s="288">
        <f>ROUND(SUM(G96:T96),5)</f>
        <v>-18817.919999999998</v>
      </c>
      <c r="W96" s="247">
        <f>+U41+U49+U80+U87+U89+U91+U92+U94</f>
        <v>1903313.2499999998</v>
      </c>
    </row>
    <row r="97" spans="1:21" s="245" customFormat="1" ht="10.9" thickBot="1">
      <c r="A97" s="252" t="s">
        <v>314</v>
      </c>
      <c r="B97" s="252"/>
      <c r="C97" s="252"/>
      <c r="D97" s="252"/>
      <c r="E97" s="252"/>
      <c r="F97" s="252"/>
      <c r="G97" s="289">
        <f>G96</f>
        <v>-94356.34</v>
      </c>
      <c r="H97" s="252"/>
      <c r="I97" s="289">
        <f>I96</f>
        <v>-40481.03</v>
      </c>
      <c r="J97" s="252"/>
      <c r="K97" s="289">
        <f>K96</f>
        <v>-86287.83</v>
      </c>
      <c r="L97" s="289">
        <f>L96</f>
        <v>-21668.68</v>
      </c>
      <c r="M97" s="289">
        <f t="shared" ref="M97:T97" si="17">M96</f>
        <v>23498.959999999999</v>
      </c>
      <c r="N97" s="289">
        <f t="shared" si="17"/>
        <v>26423.96</v>
      </c>
      <c r="O97" s="289">
        <f t="shared" si="17"/>
        <v>25163.51</v>
      </c>
      <c r="P97" s="289">
        <f t="shared" si="17"/>
        <v>20173.96</v>
      </c>
      <c r="Q97" s="289">
        <f t="shared" si="17"/>
        <v>23298.959999999999</v>
      </c>
      <c r="R97" s="289">
        <f t="shared" si="17"/>
        <v>19291.97</v>
      </c>
      <c r="S97" s="289">
        <f t="shared" si="17"/>
        <v>23398.959999999999</v>
      </c>
      <c r="T97" s="289">
        <f t="shared" si="17"/>
        <v>62725.68</v>
      </c>
      <c r="U97" s="289">
        <f>ROUND(SUM(G97:T97),5)</f>
        <v>-18817.919999999998</v>
      </c>
    </row>
    <row r="98" spans="1:21" ht="15" thickTop="1"/>
    <row r="100" spans="1:21">
      <c r="B100" s="245" t="s">
        <v>315</v>
      </c>
      <c r="G100" s="247">
        <f>+G5+G28-G95</f>
        <v>-18596.910000000003</v>
      </c>
      <c r="H100" s="247"/>
      <c r="I100" s="247">
        <f>+I5+I28-I95</f>
        <v>-59077.94</v>
      </c>
      <c r="J100" s="247"/>
      <c r="K100" s="247">
        <f t="shared" ref="K100:U100" si="18">+K5+K28-K95</f>
        <v>-145365.77000000002</v>
      </c>
      <c r="L100" s="247">
        <f t="shared" si="18"/>
        <v>-167034.45000000001</v>
      </c>
      <c r="M100" s="247">
        <f t="shared" si="18"/>
        <v>-143535.49000000002</v>
      </c>
      <c r="N100" s="247">
        <f t="shared" si="18"/>
        <v>-117111.53000000001</v>
      </c>
      <c r="O100" s="247">
        <f t="shared" si="18"/>
        <v>-91948.02</v>
      </c>
      <c r="P100" s="247">
        <f t="shared" si="18"/>
        <v>-71774.060000000012</v>
      </c>
      <c r="Q100" s="247">
        <f t="shared" si="18"/>
        <v>-48475.10000000002</v>
      </c>
      <c r="R100" s="247">
        <f t="shared" si="18"/>
        <v>-29183.130000000019</v>
      </c>
      <c r="S100" s="247">
        <f t="shared" si="18"/>
        <v>-5784.1700000000274</v>
      </c>
      <c r="T100" s="247">
        <f t="shared" si="18"/>
        <v>56941.50999999998</v>
      </c>
      <c r="U100" s="247">
        <f t="shared" si="18"/>
        <v>38123.590000000084</v>
      </c>
    </row>
    <row r="102" spans="1:21">
      <c r="F102" s="245" t="s">
        <v>316</v>
      </c>
    </row>
    <row r="104" spans="1:21" ht="15.6">
      <c r="F104" s="217" t="s">
        <v>317</v>
      </c>
      <c r="G104" s="217"/>
      <c r="H104" s="217"/>
      <c r="I104" s="217"/>
      <c r="J104" s="217"/>
      <c r="K104" s="217"/>
      <c r="L104" s="217"/>
      <c r="M104" s="217"/>
      <c r="N104" s="217"/>
    </row>
    <row r="105" spans="1:21" ht="15.6">
      <c r="F105" s="290" t="s">
        <v>318</v>
      </c>
      <c r="G105" s="217"/>
      <c r="H105" s="217"/>
      <c r="I105" s="217"/>
      <c r="J105" s="217"/>
      <c r="K105" s="217"/>
      <c r="L105" s="217"/>
      <c r="M105" s="217"/>
      <c r="N105" s="217"/>
    </row>
    <row r="106" spans="1:21" ht="15.6">
      <c r="F106" s="223" t="s">
        <v>319</v>
      </c>
      <c r="G106" s="217"/>
      <c r="H106" s="217"/>
      <c r="I106" s="217"/>
      <c r="J106" s="217"/>
      <c r="K106" s="217"/>
      <c r="L106" s="217"/>
      <c r="M106" s="217"/>
      <c r="N106" s="217"/>
    </row>
    <row r="110" spans="1:21">
      <c r="F110" s="246" t="s">
        <v>320</v>
      </c>
    </row>
    <row r="111" spans="1:21">
      <c r="F111" s="291" t="s">
        <v>321</v>
      </c>
      <c r="G111" s="292">
        <v>134000</v>
      </c>
    </row>
    <row r="112" spans="1:21">
      <c r="F112" s="291" t="s">
        <v>322</v>
      </c>
      <c r="G112" s="292">
        <v>78000</v>
      </c>
    </row>
    <row r="113" spans="1:11">
      <c r="F113" s="245" t="s">
        <v>323</v>
      </c>
      <c r="G113" s="292">
        <v>12000</v>
      </c>
      <c r="K113" s="292"/>
    </row>
    <row r="114" spans="1:11" s="263" customFormat="1">
      <c r="A114" s="293"/>
      <c r="B114" s="293"/>
      <c r="C114" s="293"/>
      <c r="D114" s="293"/>
      <c r="E114" s="293"/>
      <c r="F114" s="293" t="s">
        <v>324</v>
      </c>
      <c r="G114" s="294">
        <f>SUM(G110:G113)</f>
        <v>224000</v>
      </c>
    </row>
    <row r="116" spans="1:11">
      <c r="F116" s="245" t="s">
        <v>325</v>
      </c>
    </row>
    <row r="117" spans="1:11">
      <c r="F117" s="245" t="s">
        <v>326</v>
      </c>
      <c r="G117" s="292">
        <v>61000</v>
      </c>
    </row>
    <row r="118" spans="1:11">
      <c r="F118" s="245" t="s">
        <v>327</v>
      </c>
      <c r="G118" s="256">
        <v>46587</v>
      </c>
    </row>
    <row r="120" spans="1:11">
      <c r="F120" s="245" t="s">
        <v>328</v>
      </c>
    </row>
    <row r="121" spans="1:11">
      <c r="F121" s="245" t="s">
        <v>329</v>
      </c>
    </row>
    <row r="123" spans="1:11">
      <c r="F123" s="245" t="s">
        <v>330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AECA0-0F81-4D0E-BDB5-7B5BF047E907}">
  <dimension ref="C4:AD45"/>
  <sheetViews>
    <sheetView topLeftCell="A37" workbookViewId="0">
      <selection activeCell="AD9" sqref="AD9"/>
    </sheetView>
  </sheetViews>
  <sheetFormatPr defaultRowHeight="14.45"/>
  <cols>
    <col min="4" max="4" width="37.140625" bestFit="1" customWidth="1"/>
    <col min="5" max="5" width="1.5703125" customWidth="1"/>
    <col min="6" max="29" width="0" hidden="1" customWidth="1"/>
    <col min="30" max="30" width="12.85546875" bestFit="1" customWidth="1"/>
    <col min="31" max="31" width="13.7109375" customWidth="1"/>
  </cols>
  <sheetData>
    <row r="4" spans="3:30">
      <c r="C4" t="s">
        <v>267</v>
      </c>
    </row>
    <row r="5" spans="3:30">
      <c r="D5" t="s">
        <v>268</v>
      </c>
      <c r="F5">
        <v>0</v>
      </c>
      <c r="H5">
        <v>500</v>
      </c>
      <c r="J5">
        <v>-855</v>
      </c>
      <c r="L5">
        <v>0</v>
      </c>
      <c r="N5">
        <v>0</v>
      </c>
      <c r="P5">
        <v>0</v>
      </c>
      <c r="R5">
        <v>500</v>
      </c>
      <c r="T5">
        <v>0</v>
      </c>
      <c r="V5">
        <v>0</v>
      </c>
      <c r="X5">
        <v>0</v>
      </c>
      <c r="Z5">
        <v>0</v>
      </c>
      <c r="AB5">
        <v>0</v>
      </c>
      <c r="AD5" s="295">
        <v>145</v>
      </c>
    </row>
    <row r="6" spans="3:30">
      <c r="D6" t="s">
        <v>331</v>
      </c>
      <c r="AD6" s="295"/>
    </row>
    <row r="7" spans="3:30">
      <c r="E7" t="s">
        <v>332</v>
      </c>
      <c r="F7">
        <v>0</v>
      </c>
      <c r="H7">
        <v>2500</v>
      </c>
      <c r="J7">
        <v>0</v>
      </c>
      <c r="L7">
        <v>0</v>
      </c>
      <c r="N7">
        <v>0</v>
      </c>
      <c r="P7">
        <v>0</v>
      </c>
      <c r="R7">
        <v>0</v>
      </c>
      <c r="T7">
        <v>0</v>
      </c>
      <c r="V7">
        <v>0</v>
      </c>
      <c r="X7">
        <v>0</v>
      </c>
      <c r="Z7">
        <v>0</v>
      </c>
      <c r="AB7">
        <v>0</v>
      </c>
      <c r="AD7" s="295">
        <v>2500</v>
      </c>
    </row>
    <row r="8" spans="3:30">
      <c r="E8" t="s">
        <v>333</v>
      </c>
      <c r="F8">
        <v>0</v>
      </c>
      <c r="H8">
        <v>0</v>
      </c>
      <c r="J8">
        <v>498</v>
      </c>
      <c r="L8">
        <v>0</v>
      </c>
      <c r="N8">
        <v>0</v>
      </c>
      <c r="P8">
        <v>0</v>
      </c>
      <c r="R8">
        <v>0</v>
      </c>
      <c r="T8">
        <v>77.56</v>
      </c>
      <c r="V8">
        <v>0</v>
      </c>
      <c r="X8">
        <v>0</v>
      </c>
      <c r="Z8">
        <v>150.26</v>
      </c>
      <c r="AB8">
        <v>0</v>
      </c>
      <c r="AD8" s="295">
        <v>1245.82</v>
      </c>
    </row>
    <row r="9" spans="3:30">
      <c r="D9" t="s">
        <v>334</v>
      </c>
      <c r="F9">
        <v>0</v>
      </c>
      <c r="H9">
        <v>2500</v>
      </c>
      <c r="J9">
        <v>498</v>
      </c>
      <c r="L9">
        <v>0</v>
      </c>
      <c r="N9">
        <v>0</v>
      </c>
      <c r="P9">
        <v>0</v>
      </c>
      <c r="R9">
        <v>0</v>
      </c>
      <c r="T9">
        <v>77.56</v>
      </c>
      <c r="V9">
        <v>0</v>
      </c>
      <c r="X9">
        <v>0</v>
      </c>
      <c r="Z9">
        <v>150.26</v>
      </c>
      <c r="AB9">
        <v>0</v>
      </c>
      <c r="AD9" s="295"/>
    </row>
    <row r="10" spans="3:30">
      <c r="D10" t="s">
        <v>335</v>
      </c>
      <c r="F10">
        <v>0</v>
      </c>
      <c r="H10">
        <v>3158.75</v>
      </c>
      <c r="J10">
        <v>1487.5</v>
      </c>
      <c r="L10">
        <v>2643.5</v>
      </c>
      <c r="N10">
        <v>5870.05</v>
      </c>
      <c r="P10">
        <v>2431.25</v>
      </c>
      <c r="R10">
        <v>1105</v>
      </c>
      <c r="T10">
        <v>902.05</v>
      </c>
      <c r="V10">
        <v>3355</v>
      </c>
      <c r="X10">
        <v>998.75</v>
      </c>
      <c r="Z10">
        <v>1623.75</v>
      </c>
      <c r="AB10">
        <v>0</v>
      </c>
      <c r="AD10" s="295">
        <v>23575.599999999999</v>
      </c>
    </row>
    <row r="11" spans="3:30">
      <c r="D11" t="s">
        <v>269</v>
      </c>
      <c r="F11">
        <v>0</v>
      </c>
      <c r="H11">
        <v>0</v>
      </c>
      <c r="J11">
        <v>0</v>
      </c>
      <c r="L11">
        <v>4897.75</v>
      </c>
      <c r="N11">
        <v>2399.1</v>
      </c>
      <c r="P11">
        <v>2181.85</v>
      </c>
      <c r="R11">
        <v>2014.65</v>
      </c>
      <c r="T11">
        <v>2224.75</v>
      </c>
      <c r="V11">
        <v>1981.1</v>
      </c>
      <c r="X11">
        <v>2468.4</v>
      </c>
      <c r="Z11">
        <v>2938.1</v>
      </c>
      <c r="AB11">
        <v>0</v>
      </c>
      <c r="AD11" s="295">
        <v>21105.7</v>
      </c>
    </row>
    <row r="12" spans="3:30">
      <c r="D12" t="s">
        <v>270</v>
      </c>
      <c r="F12">
        <v>11250</v>
      </c>
      <c r="H12">
        <v>11250</v>
      </c>
      <c r="J12">
        <v>11250</v>
      </c>
      <c r="L12">
        <v>11250</v>
      </c>
      <c r="N12">
        <v>11250</v>
      </c>
      <c r="P12">
        <v>11250</v>
      </c>
      <c r="R12">
        <v>13750</v>
      </c>
      <c r="T12">
        <v>11250</v>
      </c>
      <c r="V12">
        <v>11250</v>
      </c>
      <c r="X12">
        <v>11250</v>
      </c>
      <c r="Z12">
        <v>11250</v>
      </c>
      <c r="AB12">
        <v>11250</v>
      </c>
      <c r="AD12" s="295">
        <v>137500</v>
      </c>
    </row>
    <row r="13" spans="3:30">
      <c r="D13" t="s">
        <v>271</v>
      </c>
      <c r="F13">
        <v>3809.83</v>
      </c>
      <c r="H13">
        <v>4183.42</v>
      </c>
      <c r="J13">
        <v>3909.77</v>
      </c>
      <c r="L13">
        <v>5639.68</v>
      </c>
      <c r="N13">
        <v>4169.93</v>
      </c>
      <c r="P13">
        <v>4458.17</v>
      </c>
      <c r="R13">
        <v>4156.46</v>
      </c>
      <c r="T13">
        <v>3945.03</v>
      </c>
      <c r="V13">
        <v>4073.94</v>
      </c>
      <c r="X13">
        <v>4063.66</v>
      </c>
      <c r="Z13">
        <v>4036.71</v>
      </c>
      <c r="AB13">
        <v>4142.7700000000004</v>
      </c>
      <c r="AD13" s="295">
        <v>50589.37</v>
      </c>
    </row>
    <row r="14" spans="3:30">
      <c r="D14" t="s">
        <v>272</v>
      </c>
      <c r="F14">
        <v>8404.2000000000007</v>
      </c>
      <c r="H14">
        <v>0</v>
      </c>
      <c r="J14">
        <v>0</v>
      </c>
      <c r="L14">
        <v>0</v>
      </c>
      <c r="N14">
        <v>0</v>
      </c>
      <c r="P14">
        <v>0</v>
      </c>
      <c r="R14">
        <v>0</v>
      </c>
      <c r="T14">
        <v>0</v>
      </c>
      <c r="V14">
        <v>0</v>
      </c>
      <c r="X14">
        <v>0</v>
      </c>
      <c r="Z14">
        <v>0</v>
      </c>
      <c r="AB14">
        <v>0</v>
      </c>
      <c r="AD14" s="295">
        <v>8404.2000000000007</v>
      </c>
    </row>
    <row r="15" spans="3:30">
      <c r="D15" t="s">
        <v>273</v>
      </c>
      <c r="F15">
        <v>625</v>
      </c>
      <c r="H15">
        <v>1375</v>
      </c>
      <c r="J15">
        <v>750</v>
      </c>
      <c r="L15">
        <v>875</v>
      </c>
      <c r="N15">
        <v>62.5</v>
      </c>
      <c r="P15">
        <v>1125</v>
      </c>
      <c r="R15">
        <v>875</v>
      </c>
      <c r="T15">
        <v>750</v>
      </c>
      <c r="V15">
        <v>625</v>
      </c>
      <c r="X15">
        <v>750</v>
      </c>
      <c r="Z15">
        <v>875</v>
      </c>
      <c r="AB15">
        <v>875</v>
      </c>
      <c r="AD15" s="295">
        <v>9562.5</v>
      </c>
    </row>
    <row r="16" spans="3:30">
      <c r="D16" t="s">
        <v>274</v>
      </c>
      <c r="F16">
        <v>3746</v>
      </c>
      <c r="H16">
        <v>3500</v>
      </c>
      <c r="J16">
        <v>3500</v>
      </c>
      <c r="L16">
        <v>3500</v>
      </c>
      <c r="N16">
        <v>3500</v>
      </c>
      <c r="P16">
        <v>3664</v>
      </c>
      <c r="R16">
        <v>3623</v>
      </c>
      <c r="T16">
        <v>6595.5</v>
      </c>
      <c r="V16">
        <v>6841.5</v>
      </c>
      <c r="X16">
        <v>3664</v>
      </c>
      <c r="Z16">
        <v>3503.31</v>
      </c>
      <c r="AB16">
        <v>3500</v>
      </c>
      <c r="AD16" s="295">
        <v>49137.31</v>
      </c>
    </row>
    <row r="17" spans="4:30">
      <c r="D17" t="s">
        <v>336</v>
      </c>
      <c r="F17">
        <v>1900</v>
      </c>
      <c r="H17">
        <v>1900</v>
      </c>
      <c r="J17">
        <v>1900</v>
      </c>
      <c r="L17">
        <v>1900</v>
      </c>
      <c r="N17">
        <v>1900</v>
      </c>
      <c r="P17">
        <v>1900</v>
      </c>
      <c r="R17">
        <v>1900</v>
      </c>
      <c r="T17">
        <v>1900</v>
      </c>
      <c r="V17">
        <v>1900</v>
      </c>
      <c r="X17">
        <v>1900</v>
      </c>
      <c r="Z17">
        <v>1900</v>
      </c>
      <c r="AB17">
        <v>2000</v>
      </c>
      <c r="AD17" s="295">
        <v>20900</v>
      </c>
    </row>
    <row r="18" spans="4:30">
      <c r="D18" t="s">
        <v>276</v>
      </c>
      <c r="F18">
        <v>6836</v>
      </c>
      <c r="H18">
        <v>12870</v>
      </c>
      <c r="J18">
        <v>40431.75</v>
      </c>
      <c r="L18">
        <v>22431.75</v>
      </c>
      <c r="N18">
        <v>4000</v>
      </c>
      <c r="P18">
        <v>22431.75</v>
      </c>
      <c r="R18">
        <v>4000</v>
      </c>
      <c r="T18">
        <v>31086.75</v>
      </c>
      <c r="V18">
        <v>4000</v>
      </c>
      <c r="X18">
        <v>4000</v>
      </c>
      <c r="Z18">
        <v>6978</v>
      </c>
      <c r="AB18">
        <v>13000</v>
      </c>
      <c r="AD18" s="295">
        <v>171566</v>
      </c>
    </row>
    <row r="19" spans="4:30">
      <c r="D19" t="s">
        <v>277</v>
      </c>
      <c r="F19">
        <v>3909.13</v>
      </c>
      <c r="H19">
        <v>220.75</v>
      </c>
      <c r="J19">
        <v>1771.97</v>
      </c>
      <c r="L19">
        <v>1032.0999999999999</v>
      </c>
      <c r="N19">
        <v>1328.44</v>
      </c>
      <c r="P19">
        <v>726.6</v>
      </c>
      <c r="R19">
        <v>2763.65</v>
      </c>
      <c r="T19">
        <v>1242.22</v>
      </c>
      <c r="V19">
        <v>5144.2</v>
      </c>
      <c r="X19">
        <v>3636.85</v>
      </c>
      <c r="Z19">
        <v>3051</v>
      </c>
      <c r="AB19">
        <v>1231.21</v>
      </c>
      <c r="AD19" s="295">
        <v>14651.14</v>
      </c>
    </row>
    <row r="20" spans="4:30">
      <c r="D20" t="s">
        <v>278</v>
      </c>
      <c r="F20">
        <v>0</v>
      </c>
      <c r="H20">
        <v>432</v>
      </c>
      <c r="J20">
        <v>0</v>
      </c>
      <c r="L20">
        <v>0</v>
      </c>
      <c r="N20">
        <v>0</v>
      </c>
      <c r="P20">
        <v>0</v>
      </c>
      <c r="R20">
        <v>0</v>
      </c>
      <c r="T20">
        <v>0</v>
      </c>
      <c r="V20">
        <v>0</v>
      </c>
      <c r="X20">
        <v>0</v>
      </c>
      <c r="Z20">
        <v>0</v>
      </c>
      <c r="AB20">
        <v>0</v>
      </c>
      <c r="AD20" s="295">
        <v>432</v>
      </c>
    </row>
    <row r="21" spans="4:30">
      <c r="D21" t="s">
        <v>279</v>
      </c>
      <c r="F21">
        <v>2106.25</v>
      </c>
      <c r="H21">
        <v>1662.5</v>
      </c>
      <c r="J21">
        <v>225</v>
      </c>
      <c r="L21">
        <v>0</v>
      </c>
      <c r="N21">
        <v>0</v>
      </c>
      <c r="P21">
        <v>0</v>
      </c>
      <c r="R21">
        <v>0</v>
      </c>
      <c r="T21">
        <v>437.5</v>
      </c>
      <c r="V21">
        <v>212.5</v>
      </c>
      <c r="X21">
        <v>0</v>
      </c>
      <c r="Z21">
        <v>0</v>
      </c>
      <c r="AB21">
        <v>0</v>
      </c>
      <c r="AD21" s="295">
        <v>4643.75</v>
      </c>
    </row>
    <row r="22" spans="4:30">
      <c r="D22" t="s">
        <v>280</v>
      </c>
      <c r="F22">
        <v>311.99</v>
      </c>
      <c r="H22">
        <v>313.32</v>
      </c>
      <c r="J22">
        <v>327.81</v>
      </c>
      <c r="L22">
        <v>323.93</v>
      </c>
      <c r="N22">
        <v>323.93</v>
      </c>
      <c r="P22">
        <v>318.52999999999997</v>
      </c>
      <c r="R22">
        <v>358.25</v>
      </c>
      <c r="T22">
        <v>356.33</v>
      </c>
      <c r="V22">
        <v>361.32</v>
      </c>
      <c r="X22">
        <v>361.9</v>
      </c>
      <c r="Z22">
        <v>359.8</v>
      </c>
      <c r="AB22">
        <v>354.96</v>
      </c>
      <c r="AD22" s="295">
        <v>4072.07</v>
      </c>
    </row>
    <row r="23" spans="4:30">
      <c r="D23" t="s">
        <v>281</v>
      </c>
      <c r="F23">
        <v>7150</v>
      </c>
      <c r="H23">
        <v>2780.04</v>
      </c>
      <c r="J23">
        <v>1597.72</v>
      </c>
      <c r="L23">
        <v>0</v>
      </c>
      <c r="N23">
        <v>0</v>
      </c>
      <c r="P23">
        <v>2170.34</v>
      </c>
      <c r="R23">
        <v>0</v>
      </c>
      <c r="T23">
        <v>503.65</v>
      </c>
      <c r="V23">
        <v>389.18</v>
      </c>
      <c r="X23">
        <v>571.85</v>
      </c>
      <c r="Z23">
        <v>0</v>
      </c>
      <c r="AB23">
        <v>0</v>
      </c>
      <c r="AD23" s="295">
        <v>23183.78</v>
      </c>
    </row>
    <row r="24" spans="4:30">
      <c r="D24" t="s">
        <v>282</v>
      </c>
      <c r="F24">
        <v>460.2</v>
      </c>
      <c r="H24">
        <v>460.2</v>
      </c>
      <c r="J24">
        <v>920.4</v>
      </c>
      <c r="L24">
        <v>0</v>
      </c>
      <c r="N24">
        <v>460.2</v>
      </c>
      <c r="P24">
        <v>460.2</v>
      </c>
      <c r="R24">
        <v>460.2</v>
      </c>
      <c r="T24">
        <v>460.2</v>
      </c>
      <c r="V24">
        <v>460.2</v>
      </c>
      <c r="X24">
        <v>460.2</v>
      </c>
      <c r="Z24">
        <v>460.2</v>
      </c>
      <c r="AB24">
        <v>656.2</v>
      </c>
      <c r="AD24" s="295">
        <v>5522.4</v>
      </c>
    </row>
    <row r="25" spans="4:30">
      <c r="D25" t="s">
        <v>284</v>
      </c>
      <c r="F25">
        <v>13576.31</v>
      </c>
      <c r="H25">
        <v>12884.13</v>
      </c>
      <c r="J25">
        <v>24800.26</v>
      </c>
      <c r="L25">
        <v>262</v>
      </c>
      <c r="N25">
        <v>12662.13</v>
      </c>
      <c r="P25">
        <v>12662.13</v>
      </c>
      <c r="R25">
        <v>13816.93</v>
      </c>
      <c r="T25">
        <v>12764.93</v>
      </c>
      <c r="V25">
        <v>13026.93</v>
      </c>
      <c r="X25">
        <v>12685.33</v>
      </c>
      <c r="Z25">
        <v>12704.13</v>
      </c>
      <c r="AB25">
        <v>12704.13</v>
      </c>
      <c r="AD25" s="295">
        <v>154549.34</v>
      </c>
    </row>
    <row r="26" spans="4:30">
      <c r="D26" t="s">
        <v>285</v>
      </c>
      <c r="F26">
        <v>39.950000000000003</v>
      </c>
      <c r="H26">
        <v>1963.95</v>
      </c>
      <c r="J26">
        <v>8087.8</v>
      </c>
      <c r="L26">
        <v>4632.8999999999996</v>
      </c>
      <c r="N26">
        <v>5068.8999999999996</v>
      </c>
      <c r="P26">
        <v>3718.9</v>
      </c>
      <c r="R26">
        <v>2600.9</v>
      </c>
      <c r="T26">
        <v>5213.8999999999996</v>
      </c>
      <c r="V26">
        <v>3484.9</v>
      </c>
      <c r="X26">
        <v>3692.9</v>
      </c>
      <c r="Z26">
        <v>3159</v>
      </c>
      <c r="AB26">
        <v>313.8</v>
      </c>
      <c r="AD26" s="295">
        <v>43225.8</v>
      </c>
    </row>
    <row r="27" spans="4:30">
      <c r="D27" t="s">
        <v>286</v>
      </c>
      <c r="F27">
        <v>0</v>
      </c>
      <c r="H27">
        <v>0</v>
      </c>
      <c r="J27">
        <v>0</v>
      </c>
      <c r="L27">
        <v>750</v>
      </c>
      <c r="N27">
        <v>460.5</v>
      </c>
      <c r="P27">
        <v>85</v>
      </c>
      <c r="R27">
        <v>85</v>
      </c>
      <c r="T27">
        <v>85</v>
      </c>
      <c r="V27">
        <v>85</v>
      </c>
      <c r="X27">
        <v>335</v>
      </c>
      <c r="Z27">
        <v>85</v>
      </c>
      <c r="AB27">
        <v>170</v>
      </c>
      <c r="AD27" s="295">
        <v>2140.5</v>
      </c>
    </row>
    <row r="28" spans="4:30">
      <c r="D28" t="s">
        <v>337</v>
      </c>
      <c r="F28">
        <v>0</v>
      </c>
      <c r="H28">
        <v>0</v>
      </c>
      <c r="J28">
        <v>0</v>
      </c>
      <c r="L28">
        <v>0</v>
      </c>
      <c r="N28">
        <v>150</v>
      </c>
      <c r="P28">
        <v>211</v>
      </c>
      <c r="R28">
        <v>0</v>
      </c>
      <c r="T28">
        <v>0</v>
      </c>
      <c r="V28">
        <v>6890</v>
      </c>
      <c r="X28">
        <v>-150</v>
      </c>
      <c r="Z28">
        <v>0</v>
      </c>
      <c r="AB28">
        <v>0</v>
      </c>
      <c r="AD28" s="295">
        <v>7101</v>
      </c>
    </row>
    <row r="29" spans="4:30">
      <c r="D29" t="s">
        <v>338</v>
      </c>
      <c r="F29">
        <v>0</v>
      </c>
      <c r="H29">
        <v>0</v>
      </c>
      <c r="J29">
        <v>0</v>
      </c>
      <c r="L29">
        <v>0</v>
      </c>
      <c r="N29">
        <v>20</v>
      </c>
      <c r="P29">
        <v>0</v>
      </c>
      <c r="R29">
        <v>0</v>
      </c>
      <c r="T29">
        <v>0</v>
      </c>
      <c r="V29">
        <v>0</v>
      </c>
      <c r="X29">
        <v>0</v>
      </c>
      <c r="Z29">
        <v>0</v>
      </c>
      <c r="AB29">
        <v>0</v>
      </c>
      <c r="AD29" s="295">
        <v>525.5</v>
      </c>
    </row>
    <row r="30" spans="4:30">
      <c r="D30" t="s">
        <v>339</v>
      </c>
      <c r="F30">
        <v>0</v>
      </c>
      <c r="H30">
        <v>0</v>
      </c>
      <c r="J30">
        <v>0</v>
      </c>
      <c r="L30">
        <v>0</v>
      </c>
      <c r="N30">
        <v>0</v>
      </c>
      <c r="P30">
        <v>1415.29</v>
      </c>
      <c r="R30">
        <v>525.5</v>
      </c>
      <c r="T30">
        <v>0</v>
      </c>
      <c r="V30">
        <v>0</v>
      </c>
      <c r="X30">
        <v>0</v>
      </c>
      <c r="Z30">
        <v>0</v>
      </c>
      <c r="AB30">
        <v>0</v>
      </c>
      <c r="AD30" s="295">
        <v>1415.29</v>
      </c>
    </row>
    <row r="31" spans="4:30">
      <c r="D31" t="s">
        <v>287</v>
      </c>
      <c r="F31">
        <v>1181.52</v>
      </c>
      <c r="H31">
        <v>1181.52</v>
      </c>
      <c r="J31">
        <v>1181.52</v>
      </c>
      <c r="L31">
        <v>1181.52</v>
      </c>
      <c r="N31">
        <v>1181.52</v>
      </c>
      <c r="P31">
        <v>1181.52</v>
      </c>
      <c r="R31">
        <v>1181.52</v>
      </c>
      <c r="T31">
        <v>1181.52</v>
      </c>
      <c r="V31">
        <v>1181.52</v>
      </c>
      <c r="X31">
        <v>1181.52</v>
      </c>
      <c r="Z31">
        <v>1723.35</v>
      </c>
      <c r="AB31">
        <v>1181.52</v>
      </c>
      <c r="AD31" s="295">
        <v>14720.07</v>
      </c>
    </row>
    <row r="32" spans="4:30">
      <c r="D32" t="s">
        <v>340</v>
      </c>
      <c r="F32">
        <v>0</v>
      </c>
      <c r="H32">
        <v>85.31</v>
      </c>
      <c r="J32">
        <v>149.24</v>
      </c>
      <c r="L32">
        <v>0</v>
      </c>
      <c r="N32">
        <v>32.07</v>
      </c>
      <c r="P32">
        <v>0</v>
      </c>
      <c r="R32">
        <v>0</v>
      </c>
      <c r="T32">
        <v>145.31</v>
      </c>
      <c r="V32">
        <v>0</v>
      </c>
      <c r="X32">
        <v>0</v>
      </c>
      <c r="Z32">
        <v>0</v>
      </c>
      <c r="AB32">
        <v>68</v>
      </c>
      <c r="AD32" s="295">
        <v>219.95</v>
      </c>
    </row>
    <row r="33" spans="3:30">
      <c r="D33" t="s">
        <v>288</v>
      </c>
      <c r="F33">
        <v>0</v>
      </c>
      <c r="H33">
        <v>5.99</v>
      </c>
      <c r="J33">
        <v>5.99</v>
      </c>
      <c r="L33">
        <v>5.99</v>
      </c>
      <c r="N33">
        <v>5.99</v>
      </c>
      <c r="P33">
        <v>5.99</v>
      </c>
      <c r="R33">
        <v>5.99</v>
      </c>
      <c r="T33">
        <v>5.99</v>
      </c>
      <c r="V33">
        <v>5.99</v>
      </c>
      <c r="X33">
        <v>5.99</v>
      </c>
      <c r="Z33">
        <v>5.99</v>
      </c>
      <c r="AB33">
        <v>5.99</v>
      </c>
      <c r="AD33" s="295">
        <v>65.89</v>
      </c>
    </row>
    <row r="34" spans="3:30">
      <c r="D34" t="s">
        <v>341</v>
      </c>
      <c r="F34">
        <v>34.56</v>
      </c>
      <c r="H34">
        <v>0</v>
      </c>
      <c r="J34">
        <v>35.54</v>
      </c>
      <c r="L34">
        <v>0</v>
      </c>
      <c r="N34">
        <v>0</v>
      </c>
      <c r="P34">
        <v>0</v>
      </c>
      <c r="R34">
        <v>0</v>
      </c>
      <c r="T34">
        <v>0</v>
      </c>
      <c r="V34">
        <v>0</v>
      </c>
      <c r="X34">
        <v>4523.8900000000003</v>
      </c>
      <c r="Z34">
        <v>4210.45</v>
      </c>
      <c r="AB34">
        <v>0</v>
      </c>
      <c r="AD34" s="295">
        <v>134.38999999999999</v>
      </c>
    </row>
    <row r="35" spans="3:30">
      <c r="D35" t="s">
        <v>289</v>
      </c>
      <c r="F35">
        <v>5711.29</v>
      </c>
      <c r="H35">
        <v>2846.33</v>
      </c>
      <c r="J35">
        <v>50</v>
      </c>
      <c r="L35">
        <v>50</v>
      </c>
      <c r="N35">
        <v>50</v>
      </c>
      <c r="P35">
        <v>2846.33</v>
      </c>
      <c r="R35">
        <v>50</v>
      </c>
      <c r="T35">
        <v>50</v>
      </c>
      <c r="V35">
        <v>410</v>
      </c>
      <c r="X35">
        <v>60</v>
      </c>
      <c r="Z35">
        <v>1161.26</v>
      </c>
      <c r="AB35">
        <v>120</v>
      </c>
      <c r="AD35" s="295">
        <v>26071.16</v>
      </c>
    </row>
    <row r="36" spans="3:30">
      <c r="D36" t="s">
        <v>290</v>
      </c>
      <c r="F36">
        <v>1899.99</v>
      </c>
      <c r="H36">
        <v>1899.99</v>
      </c>
      <c r="J36">
        <v>1908.94</v>
      </c>
      <c r="L36">
        <v>1899.99</v>
      </c>
      <c r="N36">
        <v>1899.99</v>
      </c>
      <c r="P36">
        <v>1908.94</v>
      </c>
      <c r="R36">
        <v>2017.88</v>
      </c>
      <c r="T36">
        <v>1899</v>
      </c>
      <c r="V36">
        <v>-13800</v>
      </c>
      <c r="X36">
        <v>219</v>
      </c>
      <c r="Z36">
        <v>228.02</v>
      </c>
      <c r="AB36">
        <v>233.94</v>
      </c>
      <c r="AD36" s="295">
        <v>2215.6799999999998</v>
      </c>
    </row>
    <row r="37" spans="3:30">
      <c r="D37" t="s">
        <v>291</v>
      </c>
      <c r="F37">
        <v>2578.77</v>
      </c>
      <c r="H37">
        <v>2287.16</v>
      </c>
      <c r="J37">
        <v>3372.87</v>
      </c>
      <c r="L37">
        <v>2703.21</v>
      </c>
      <c r="N37">
        <v>2300.2600000000002</v>
      </c>
      <c r="P37">
        <v>2161.2199999999998</v>
      </c>
      <c r="R37">
        <v>2005.08</v>
      </c>
      <c r="T37">
        <v>2307.52</v>
      </c>
      <c r="V37">
        <v>2151.37</v>
      </c>
      <c r="X37">
        <v>2155.5500000000002</v>
      </c>
      <c r="Z37">
        <v>2660.31</v>
      </c>
      <c r="AB37">
        <v>2007.73</v>
      </c>
      <c r="AD37" s="295">
        <v>28691.05</v>
      </c>
    </row>
    <row r="38" spans="3:30">
      <c r="D38" t="s">
        <v>292</v>
      </c>
      <c r="F38">
        <v>411.36</v>
      </c>
      <c r="H38">
        <v>411.36</v>
      </c>
      <c r="J38">
        <v>411.89</v>
      </c>
      <c r="L38">
        <v>449.82</v>
      </c>
      <c r="N38">
        <v>625.25</v>
      </c>
      <c r="P38">
        <v>0</v>
      </c>
      <c r="R38">
        <v>1574.18</v>
      </c>
      <c r="T38">
        <v>784.04</v>
      </c>
      <c r="V38">
        <v>765</v>
      </c>
      <c r="X38">
        <v>643.41</v>
      </c>
      <c r="Z38">
        <v>149.06</v>
      </c>
      <c r="AB38">
        <v>170.28</v>
      </c>
      <c r="AD38" s="295">
        <v>6395.65</v>
      </c>
    </row>
    <row r="39" spans="3:30">
      <c r="D39" t="s">
        <v>294</v>
      </c>
      <c r="F39">
        <v>9000</v>
      </c>
      <c r="H39">
        <v>8973.15</v>
      </c>
      <c r="J39">
        <v>16644</v>
      </c>
      <c r="L39">
        <v>16732.5</v>
      </c>
      <c r="N39">
        <v>14106.35</v>
      </c>
      <c r="P39">
        <v>12843.3</v>
      </c>
      <c r="R39">
        <v>11544</v>
      </c>
      <c r="T39">
        <v>15661.9</v>
      </c>
      <c r="V39">
        <v>13838.65</v>
      </c>
      <c r="X39">
        <v>17553.900000000001</v>
      </c>
      <c r="Z39">
        <v>12898.3</v>
      </c>
      <c r="AB39">
        <v>2936.55</v>
      </c>
      <c r="AD39" s="295">
        <v>152732.6</v>
      </c>
    </row>
    <row r="40" spans="3:30">
      <c r="D40" t="s">
        <v>295</v>
      </c>
      <c r="F40">
        <v>4800</v>
      </c>
      <c r="H40">
        <v>1800</v>
      </c>
      <c r="J40">
        <v>14010</v>
      </c>
      <c r="L40">
        <v>20820</v>
      </c>
      <c r="N40">
        <v>11090</v>
      </c>
      <c r="P40">
        <v>9760</v>
      </c>
      <c r="R40">
        <v>9675</v>
      </c>
      <c r="T40">
        <v>16490</v>
      </c>
      <c r="V40">
        <v>11925</v>
      </c>
      <c r="X40">
        <v>15845</v>
      </c>
      <c r="Z40">
        <v>16065</v>
      </c>
      <c r="AB40">
        <v>0</v>
      </c>
      <c r="AD40" s="295">
        <v>132280</v>
      </c>
    </row>
    <row r="41" spans="3:30">
      <c r="D41" t="s">
        <v>342</v>
      </c>
      <c r="F41">
        <v>0</v>
      </c>
      <c r="H41">
        <v>0</v>
      </c>
      <c r="J41">
        <v>0</v>
      </c>
      <c r="L41">
        <v>0</v>
      </c>
      <c r="N41">
        <v>-153.38</v>
      </c>
      <c r="P41">
        <v>224.53</v>
      </c>
      <c r="R41">
        <v>19234.45</v>
      </c>
      <c r="T41">
        <v>14383</v>
      </c>
      <c r="V41">
        <v>0</v>
      </c>
      <c r="X41">
        <v>0</v>
      </c>
      <c r="Z41">
        <v>0</v>
      </c>
      <c r="AB41">
        <v>0</v>
      </c>
      <c r="AD41" s="295">
        <v>33688.6</v>
      </c>
    </row>
    <row r="42" spans="3:30">
      <c r="C42" t="s">
        <v>296</v>
      </c>
      <c r="F42">
        <v>89742.35</v>
      </c>
      <c r="H42">
        <v>81444.87</v>
      </c>
      <c r="J42">
        <v>138372.97</v>
      </c>
      <c r="L42">
        <v>103981.64</v>
      </c>
      <c r="N42">
        <v>84763.73</v>
      </c>
      <c r="P42">
        <v>102141.84</v>
      </c>
      <c r="R42">
        <v>99822.64</v>
      </c>
      <c r="T42">
        <v>132703.65</v>
      </c>
      <c r="V42">
        <v>80558.3</v>
      </c>
      <c r="X42">
        <v>92877.1</v>
      </c>
      <c r="Z42">
        <v>92176</v>
      </c>
      <c r="AB42">
        <v>56922.080000000002</v>
      </c>
      <c r="AD42" s="295">
        <f>SUM(AD5:AD41)</f>
        <v>1154909.1100000003</v>
      </c>
    </row>
    <row r="44" spans="3:30">
      <c r="AD44" s="295">
        <v>1154909.1100000001</v>
      </c>
    </row>
    <row r="45" spans="3:30">
      <c r="AD45" s="296">
        <f>+AD42-AD44</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10AC6-4F2F-41FD-92B7-76501DFAB538}">
  <sheetPr>
    <tabColor theme="5" tint="-0.249977111117893"/>
  </sheetPr>
  <dimension ref="A1:AH91"/>
  <sheetViews>
    <sheetView workbookViewId="0">
      <selection activeCell="AE22" sqref="AE22"/>
    </sheetView>
  </sheetViews>
  <sheetFormatPr defaultColWidth="8.7109375" defaultRowHeight="15.6"/>
  <cols>
    <col min="1" max="5" width="2.85546875" style="223" customWidth="1"/>
    <col min="6" max="6" width="46.7109375" style="223" bestFit="1" customWidth="1"/>
    <col min="7" max="7" width="12.140625" style="217" customWidth="1"/>
    <col min="8" max="8" width="2.28515625" style="217" customWidth="1"/>
    <col min="9" max="9" width="12.140625" style="217" customWidth="1"/>
    <col min="10" max="10" width="2.28515625" style="217" customWidth="1"/>
    <col min="11" max="11" width="12.140625" style="217" customWidth="1"/>
    <col min="12" max="12" width="2.28515625" style="217" customWidth="1"/>
    <col min="13" max="13" width="12.42578125" style="217" customWidth="1"/>
    <col min="14" max="14" width="2.28515625" style="217" customWidth="1"/>
    <col min="15" max="15" width="12.42578125" style="217" customWidth="1"/>
    <col min="16" max="16" width="2.28515625" style="217" customWidth="1"/>
    <col min="17" max="17" width="12.42578125" style="217" customWidth="1"/>
    <col min="18" max="18" width="2.28515625" style="217" customWidth="1"/>
    <col min="19" max="19" width="12.42578125" style="217" customWidth="1"/>
    <col min="20" max="20" width="2.28515625" style="217" customWidth="1"/>
    <col min="21" max="21" width="12.42578125" style="217" customWidth="1"/>
    <col min="22" max="22" width="2.28515625" style="217" customWidth="1"/>
    <col min="23" max="23" width="12.42578125" style="217" customWidth="1"/>
    <col min="24" max="24" width="2.28515625" style="217" customWidth="1"/>
    <col min="25" max="25" width="12.42578125" style="217" customWidth="1"/>
    <col min="26" max="26" width="2.28515625" style="217" customWidth="1"/>
    <col min="27" max="27" width="12.42578125" style="217" customWidth="1"/>
    <col min="28" max="28" width="2.28515625" style="217" customWidth="1"/>
    <col min="29" max="29" width="12.42578125" style="217" customWidth="1"/>
    <col min="30" max="30" width="2.28515625" style="217" customWidth="1"/>
    <col min="31" max="31" width="14.28515625" style="217" bestFit="1" customWidth="1"/>
    <col min="32" max="32" width="8.7109375" style="217"/>
    <col min="33" max="34" width="13.28515625" style="217" bestFit="1" customWidth="1"/>
    <col min="35" max="16384" width="8.7109375" style="217"/>
  </cols>
  <sheetData>
    <row r="1" spans="1:34" s="213" customFormat="1" ht="16.149999999999999" thickBot="1">
      <c r="A1" s="210"/>
      <c r="B1" s="210"/>
      <c r="C1" s="210"/>
      <c r="D1" s="210"/>
      <c r="E1" s="210"/>
      <c r="F1" s="210"/>
      <c r="G1" s="211" t="s">
        <v>343</v>
      </c>
      <c r="H1" s="212"/>
      <c r="I1" s="211" t="s">
        <v>344</v>
      </c>
      <c r="J1" s="212"/>
      <c r="K1" s="211" t="s">
        <v>345</v>
      </c>
      <c r="L1" s="212"/>
      <c r="M1" s="211" t="s">
        <v>346</v>
      </c>
      <c r="N1" s="212"/>
      <c r="O1" s="211" t="s">
        <v>347</v>
      </c>
      <c r="P1" s="212"/>
      <c r="Q1" s="211" t="s">
        <v>348</v>
      </c>
      <c r="R1" s="212"/>
      <c r="S1" s="211" t="s">
        <v>349</v>
      </c>
      <c r="T1" s="212"/>
      <c r="U1" s="211" t="s">
        <v>350</v>
      </c>
      <c r="V1" s="212"/>
      <c r="W1" s="211" t="s">
        <v>351</v>
      </c>
      <c r="X1" s="212"/>
      <c r="Y1" s="211" t="s">
        <v>352</v>
      </c>
      <c r="Z1" s="212"/>
      <c r="AA1" s="211" t="s">
        <v>353</v>
      </c>
      <c r="AB1" s="212"/>
      <c r="AC1" s="211" t="s">
        <v>354</v>
      </c>
      <c r="AD1" s="212"/>
      <c r="AE1" s="211" t="s">
        <v>222</v>
      </c>
    </row>
    <row r="2" spans="1:34" ht="16.149999999999999" thickTop="1">
      <c r="A2" s="214"/>
      <c r="B2" s="214" t="s">
        <v>223</v>
      </c>
      <c r="C2" s="214"/>
      <c r="D2" s="214"/>
      <c r="E2" s="214"/>
      <c r="F2" s="214"/>
      <c r="G2" s="215"/>
      <c r="H2" s="216"/>
      <c r="I2" s="215"/>
      <c r="J2" s="216"/>
      <c r="K2" s="215"/>
      <c r="L2" s="216"/>
      <c r="M2" s="215"/>
      <c r="N2" s="216"/>
      <c r="O2" s="215"/>
      <c r="P2" s="216"/>
      <c r="Q2" s="215"/>
      <c r="R2" s="216"/>
      <c r="S2" s="215"/>
      <c r="T2" s="216"/>
      <c r="U2" s="215"/>
      <c r="V2" s="216"/>
      <c r="W2" s="215"/>
      <c r="X2" s="216"/>
      <c r="Y2" s="215"/>
      <c r="Z2" s="216"/>
      <c r="AA2" s="215"/>
      <c r="AB2" s="216"/>
      <c r="AC2" s="215"/>
      <c r="AD2" s="216"/>
      <c r="AE2" s="215"/>
    </row>
    <row r="3" spans="1:34">
      <c r="A3" s="214"/>
      <c r="B3" s="214"/>
      <c r="C3" s="214"/>
      <c r="D3" s="214" t="s">
        <v>224</v>
      </c>
      <c r="E3" s="214"/>
      <c r="F3" s="214"/>
      <c r="G3" s="215"/>
      <c r="H3" s="216"/>
      <c r="I3" s="215"/>
      <c r="J3" s="216"/>
      <c r="K3" s="215"/>
      <c r="L3" s="216"/>
      <c r="M3" s="215"/>
      <c r="N3" s="216"/>
      <c r="O3" s="215"/>
      <c r="P3" s="216"/>
      <c r="Q3" s="215"/>
      <c r="R3" s="216"/>
      <c r="S3" s="215"/>
      <c r="T3" s="216"/>
      <c r="U3" s="215"/>
      <c r="V3" s="216"/>
      <c r="W3" s="215"/>
      <c r="X3" s="216"/>
      <c r="Y3" s="215"/>
      <c r="Z3" s="216"/>
      <c r="AA3" s="215"/>
      <c r="AB3" s="216"/>
      <c r="AC3" s="215"/>
      <c r="AD3" s="216"/>
      <c r="AE3" s="215"/>
    </row>
    <row r="4" spans="1:34">
      <c r="A4" s="214"/>
      <c r="B4" s="214"/>
      <c r="C4" s="214"/>
      <c r="D4" s="214"/>
      <c r="E4" s="214" t="s">
        <v>225</v>
      </c>
      <c r="F4" s="214"/>
      <c r="G4" s="215">
        <v>1.17</v>
      </c>
      <c r="H4" s="216"/>
      <c r="I4" s="215">
        <v>0.95</v>
      </c>
      <c r="J4" s="216"/>
      <c r="K4" s="215">
        <v>0.95</v>
      </c>
      <c r="L4" s="216"/>
      <c r="M4" s="215">
        <v>0.95</v>
      </c>
      <c r="N4" s="216"/>
      <c r="O4" s="215">
        <v>0.95</v>
      </c>
      <c r="P4" s="216"/>
      <c r="Q4" s="215">
        <v>0.95</v>
      </c>
      <c r="R4" s="216"/>
      <c r="S4" s="215">
        <v>0.95</v>
      </c>
      <c r="T4" s="216"/>
      <c r="U4" s="215">
        <v>0.95</v>
      </c>
      <c r="V4" s="216"/>
      <c r="W4" s="215">
        <v>0.95</v>
      </c>
      <c r="X4" s="216"/>
      <c r="Y4" s="215">
        <v>0.95</v>
      </c>
      <c r="Z4" s="216"/>
      <c r="AA4" s="215">
        <v>0.95</v>
      </c>
      <c r="AB4" s="216"/>
      <c r="AC4" s="215">
        <v>0.95</v>
      </c>
      <c r="AD4" s="216"/>
      <c r="AE4" s="215">
        <f>ROUND(SUM(G4:AC4),5)</f>
        <v>11.62</v>
      </c>
    </row>
    <row r="5" spans="1:34">
      <c r="A5" s="214"/>
      <c r="B5" s="214"/>
      <c r="C5" s="214"/>
      <c r="D5" s="214"/>
      <c r="E5" s="214" t="s">
        <v>226</v>
      </c>
      <c r="F5" s="214"/>
      <c r="G5" s="215"/>
      <c r="H5" s="216"/>
      <c r="I5" s="215"/>
      <c r="J5" s="216"/>
      <c r="K5" s="215"/>
      <c r="L5" s="216"/>
      <c r="M5" s="215"/>
      <c r="N5" s="216"/>
      <c r="O5" s="215"/>
      <c r="P5" s="216"/>
      <c r="Q5" s="215"/>
      <c r="R5" s="216"/>
      <c r="S5" s="215"/>
      <c r="T5" s="216"/>
      <c r="U5" s="215"/>
      <c r="V5" s="216"/>
      <c r="W5" s="215"/>
      <c r="X5" s="216"/>
      <c r="Y5" s="215"/>
      <c r="Z5" s="216"/>
      <c r="AA5" s="215"/>
      <c r="AB5" s="216"/>
      <c r="AC5" s="215"/>
      <c r="AD5" s="216"/>
      <c r="AE5" s="215"/>
    </row>
    <row r="6" spans="1:34" ht="16.149999999999999" thickBot="1">
      <c r="A6" s="214"/>
      <c r="B6" s="214"/>
      <c r="C6" s="214"/>
      <c r="D6" s="214"/>
      <c r="E6" s="214"/>
      <c r="F6" s="214" t="s">
        <v>227</v>
      </c>
      <c r="G6" s="218">
        <v>431.84</v>
      </c>
      <c r="H6" s="216"/>
      <c r="I6" s="218">
        <v>0</v>
      </c>
      <c r="J6" s="216"/>
      <c r="K6" s="218">
        <v>12212.71</v>
      </c>
      <c r="L6" s="216"/>
      <c r="M6" s="218">
        <v>0</v>
      </c>
      <c r="N6" s="216"/>
      <c r="O6" s="218">
        <v>1000</v>
      </c>
      <c r="P6" s="216"/>
      <c r="Q6" s="218">
        <v>0</v>
      </c>
      <c r="R6" s="216"/>
      <c r="S6" s="218">
        <v>1000</v>
      </c>
      <c r="T6" s="216"/>
      <c r="U6" s="218">
        <v>0</v>
      </c>
      <c r="V6" s="216"/>
      <c r="W6" s="218">
        <v>0</v>
      </c>
      <c r="X6" s="216"/>
      <c r="Y6" s="218">
        <v>2000</v>
      </c>
      <c r="Z6" s="216"/>
      <c r="AA6" s="218">
        <v>0</v>
      </c>
      <c r="AB6" s="216"/>
      <c r="AC6" s="218">
        <v>0</v>
      </c>
      <c r="AD6" s="216"/>
      <c r="AE6" s="218">
        <f>ROUND(SUM(G6:AC6),5)</f>
        <v>16644.55</v>
      </c>
    </row>
    <row r="7" spans="1:34">
      <c r="A7" s="214"/>
      <c r="B7" s="214"/>
      <c r="C7" s="214"/>
      <c r="D7" s="214"/>
      <c r="E7" s="214" t="s">
        <v>228</v>
      </c>
      <c r="F7" s="214"/>
      <c r="G7" s="215">
        <f>ROUND(SUM(G5:G6),5)</f>
        <v>431.84</v>
      </c>
      <c r="H7" s="216"/>
      <c r="I7" s="215">
        <f>ROUND(SUM(I5:I6),5)</f>
        <v>0</v>
      </c>
      <c r="J7" s="216"/>
      <c r="K7" s="215">
        <f>ROUND(SUM(K5:K6),5)</f>
        <v>12212.71</v>
      </c>
      <c r="L7" s="216"/>
      <c r="M7" s="215">
        <f>ROUND(SUM(M5:M6),5)</f>
        <v>0</v>
      </c>
      <c r="N7" s="216"/>
      <c r="O7" s="215">
        <f>ROUND(SUM(O5:O6),5)</f>
        <v>1000</v>
      </c>
      <c r="P7" s="216"/>
      <c r="Q7" s="215">
        <f>ROUND(SUM(Q5:Q6),5)</f>
        <v>0</v>
      </c>
      <c r="R7" s="216"/>
      <c r="S7" s="215">
        <f>ROUND(SUM(S5:S6),5)</f>
        <v>1000</v>
      </c>
      <c r="T7" s="216"/>
      <c r="U7" s="215">
        <f>ROUND(SUM(U5:U6),5)</f>
        <v>0</v>
      </c>
      <c r="V7" s="216"/>
      <c r="W7" s="215">
        <f>ROUND(SUM(W5:W6),5)</f>
        <v>0</v>
      </c>
      <c r="X7" s="216"/>
      <c r="Y7" s="215">
        <f>ROUND(SUM(Y5:Y6),5)</f>
        <v>2000</v>
      </c>
      <c r="Z7" s="216"/>
      <c r="AA7" s="215">
        <f>ROUND(SUM(AA5:AA6),5)</f>
        <v>0</v>
      </c>
      <c r="AB7" s="216"/>
      <c r="AC7" s="215">
        <f>ROUND(SUM(AC5:AC6),5)</f>
        <v>0</v>
      </c>
      <c r="AD7" s="216"/>
      <c r="AE7" s="215">
        <f>ROUND(SUM(G7:AC7),5)</f>
        <v>16644.55</v>
      </c>
    </row>
    <row r="8" spans="1:34">
      <c r="A8" s="214"/>
      <c r="B8" s="214"/>
      <c r="C8" s="214"/>
      <c r="D8" s="214"/>
      <c r="E8" s="214" t="s">
        <v>229</v>
      </c>
      <c r="F8" s="214"/>
      <c r="G8" s="215"/>
      <c r="H8" s="216"/>
      <c r="I8" s="215"/>
      <c r="J8" s="216"/>
      <c r="K8" s="215"/>
      <c r="L8" s="216"/>
      <c r="M8" s="215"/>
      <c r="N8" s="216"/>
      <c r="O8" s="215"/>
      <c r="P8" s="216"/>
      <c r="Q8" s="215"/>
      <c r="R8" s="216"/>
      <c r="S8" s="215"/>
      <c r="T8" s="216"/>
      <c r="U8" s="215"/>
      <c r="V8" s="216"/>
      <c r="W8" s="215"/>
      <c r="X8" s="216"/>
      <c r="Y8" s="215"/>
      <c r="Z8" s="216"/>
      <c r="AA8" s="215"/>
      <c r="AB8" s="216"/>
      <c r="AC8" s="215"/>
      <c r="AD8" s="216"/>
      <c r="AE8" s="215"/>
    </row>
    <row r="9" spans="1:34">
      <c r="A9" s="214"/>
      <c r="B9" s="214"/>
      <c r="C9" s="214"/>
      <c r="D9" s="214"/>
      <c r="E9" s="214"/>
      <c r="F9" s="214" t="s">
        <v>230</v>
      </c>
      <c r="G9" s="215">
        <v>97427.67</v>
      </c>
      <c r="H9" s="216"/>
      <c r="I9" s="215">
        <v>96924.77</v>
      </c>
      <c r="J9" s="216"/>
      <c r="K9" s="215">
        <v>94322.36</v>
      </c>
      <c r="L9" s="216"/>
      <c r="M9" s="215">
        <f>874925.19/9</f>
        <v>97213.909999999989</v>
      </c>
      <c r="N9" s="216"/>
      <c r="O9" s="215">
        <v>114541.66</v>
      </c>
      <c r="P9" s="216"/>
      <c r="Q9" s="215">
        <v>114541.66</v>
      </c>
      <c r="R9" s="216"/>
      <c r="S9" s="215">
        <v>114541.66</v>
      </c>
      <c r="T9" s="216"/>
      <c r="U9" s="215">
        <v>114541.66</v>
      </c>
      <c r="V9" s="216"/>
      <c r="W9" s="215">
        <v>114541.66</v>
      </c>
      <c r="X9" s="216"/>
      <c r="Y9" s="215">
        <v>114541.66</v>
      </c>
      <c r="Z9" s="216"/>
      <c r="AA9" s="215">
        <v>114541.66</v>
      </c>
      <c r="AB9" s="215"/>
      <c r="AC9" s="215">
        <v>114541.66</v>
      </c>
      <c r="AD9" s="216"/>
      <c r="AE9" s="234">
        <f>ROUND(SUM(G9:AC9),5)</f>
        <v>1302221.99</v>
      </c>
      <c r="AG9" s="217">
        <f>1163599.99-288674.8</f>
        <v>874925.19</v>
      </c>
      <c r="AH9" s="237">
        <f>+AE11+AE15</f>
        <v>1757454.47</v>
      </c>
    </row>
    <row r="10" spans="1:34" ht="16.149999999999999" thickBot="1">
      <c r="A10" s="214"/>
      <c r="B10" s="214"/>
      <c r="C10" s="214"/>
      <c r="D10" s="214"/>
      <c r="E10" s="214"/>
      <c r="F10" s="214" t="s">
        <v>233</v>
      </c>
      <c r="G10" s="218">
        <v>6268.64</v>
      </c>
      <c r="H10" s="216"/>
      <c r="I10" s="218">
        <v>19280</v>
      </c>
      <c r="J10" s="216"/>
      <c r="K10" s="218">
        <v>12774.33</v>
      </c>
      <c r="L10" s="216"/>
      <c r="M10" s="218">
        <v>11399.32</v>
      </c>
      <c r="N10" s="216"/>
      <c r="O10" s="218">
        <v>11399.32</v>
      </c>
      <c r="P10" s="216"/>
      <c r="Q10" s="218">
        <v>11399.32</v>
      </c>
      <c r="R10" s="216"/>
      <c r="S10" s="218">
        <f>11399.32+4981.58</f>
        <v>16380.9</v>
      </c>
      <c r="T10" s="216"/>
      <c r="U10" s="218">
        <v>11399.32</v>
      </c>
      <c r="V10" s="216"/>
      <c r="W10" s="218">
        <v>11399.32</v>
      </c>
      <c r="X10" s="216"/>
      <c r="Y10" s="218">
        <v>11399.32</v>
      </c>
      <c r="Z10" s="216"/>
      <c r="AA10" s="218">
        <v>11399.32</v>
      </c>
      <c r="AB10" s="216"/>
      <c r="AC10" s="218">
        <v>11399.32</v>
      </c>
      <c r="AD10" s="216"/>
      <c r="AE10" s="235">
        <f>ROUND(SUM(G10:AC10),5)</f>
        <v>145898.43</v>
      </c>
      <c r="AH10" s="217" t="s">
        <v>355</v>
      </c>
    </row>
    <row r="11" spans="1:34">
      <c r="A11" s="214"/>
      <c r="B11" s="214"/>
      <c r="C11" s="214"/>
      <c r="D11" s="214"/>
      <c r="E11" s="214" t="s">
        <v>234</v>
      </c>
      <c r="F11" s="214"/>
      <c r="G11" s="215">
        <f>ROUND(SUM(G8:G10),5)</f>
        <v>103696.31</v>
      </c>
      <c r="H11" s="216"/>
      <c r="I11" s="215">
        <f>ROUND(SUM(I8:I10),5)</f>
        <v>116204.77</v>
      </c>
      <c r="J11" s="216"/>
      <c r="K11" s="215">
        <f>ROUND(SUM(K8:K10),5)</f>
        <v>107096.69</v>
      </c>
      <c r="L11" s="216"/>
      <c r="M11" s="215">
        <f>ROUND(SUM(M8:M10),5)</f>
        <v>108613.23</v>
      </c>
      <c r="N11" s="216"/>
      <c r="O11" s="215">
        <f>ROUND(SUM(O8:O10),5)</f>
        <v>125940.98</v>
      </c>
      <c r="P11" s="216"/>
      <c r="Q11" s="215">
        <f>ROUND(SUM(Q8:Q10),5)</f>
        <v>125940.98</v>
      </c>
      <c r="R11" s="216"/>
      <c r="S11" s="215">
        <f>ROUND(SUM(S8:S10),5)</f>
        <v>130922.56</v>
      </c>
      <c r="T11" s="216"/>
      <c r="U11" s="215">
        <f>ROUND(SUM(U8:U10),5)</f>
        <v>125940.98</v>
      </c>
      <c r="V11" s="216"/>
      <c r="W11" s="215">
        <f>ROUND(SUM(W8:W10),5)</f>
        <v>125940.98</v>
      </c>
      <c r="X11" s="216"/>
      <c r="Y11" s="215">
        <f>ROUND(SUM(Y8:Y10),5)</f>
        <v>125940.98</v>
      </c>
      <c r="Z11" s="216"/>
      <c r="AA11" s="215">
        <f>ROUND(SUM(AA8:AA10),5)</f>
        <v>125940.98</v>
      </c>
      <c r="AB11" s="216"/>
      <c r="AC11" s="215">
        <f>ROUND(SUM(AC8:AC10),5)</f>
        <v>125940.98</v>
      </c>
      <c r="AD11" s="216"/>
      <c r="AE11" s="215">
        <f>ROUND(SUM(G11:AC11),5)</f>
        <v>1448120.42</v>
      </c>
    </row>
    <row r="12" spans="1:34">
      <c r="A12" s="214"/>
      <c r="B12" s="214"/>
      <c r="C12" s="214"/>
      <c r="D12" s="214"/>
      <c r="E12" s="214" t="s">
        <v>235</v>
      </c>
      <c r="F12" s="214"/>
      <c r="G12" s="215"/>
      <c r="H12" s="216"/>
      <c r="I12" s="215"/>
      <c r="J12" s="216"/>
      <c r="K12" s="215"/>
      <c r="L12" s="216"/>
      <c r="M12" s="215"/>
      <c r="N12" s="216"/>
      <c r="O12" s="215"/>
      <c r="P12" s="216"/>
      <c r="Q12" s="215"/>
      <c r="R12" s="216"/>
      <c r="S12" s="215"/>
      <c r="T12" s="216"/>
      <c r="U12" s="215"/>
      <c r="V12" s="216"/>
      <c r="W12" s="215"/>
      <c r="X12" s="216"/>
      <c r="Y12" s="215"/>
      <c r="Z12" s="216"/>
      <c r="AA12" s="215"/>
      <c r="AB12" s="216"/>
      <c r="AC12" s="215"/>
      <c r="AD12" s="216"/>
      <c r="AE12" s="215"/>
      <c r="AG12" s="217">
        <v>1595722.47</v>
      </c>
      <c r="AH12" s="217">
        <v>1595722.47</v>
      </c>
    </row>
    <row r="13" spans="1:34">
      <c r="A13" s="214"/>
      <c r="B13" s="214"/>
      <c r="C13" s="214"/>
      <c r="D13" s="214"/>
      <c r="E13" s="214"/>
      <c r="F13" s="214" t="s">
        <v>236</v>
      </c>
      <c r="G13" s="215">
        <v>18489.3</v>
      </c>
      <c r="H13" s="216"/>
      <c r="I13" s="215">
        <v>18433.68</v>
      </c>
      <c r="J13" s="216"/>
      <c r="K13" s="215">
        <v>18420.099999999999</v>
      </c>
      <c r="L13" s="216"/>
      <c r="M13" s="215">
        <v>27903.83</v>
      </c>
      <c r="N13" s="216"/>
      <c r="O13" s="215">
        <v>20811.830000000002</v>
      </c>
      <c r="P13" s="216"/>
      <c r="Q13" s="215">
        <v>20811.830000000002</v>
      </c>
      <c r="R13" s="216"/>
      <c r="S13" s="215">
        <v>20811.830000000002</v>
      </c>
      <c r="T13" s="216"/>
      <c r="U13" s="215">
        <v>20811.830000000002</v>
      </c>
      <c r="V13" s="216"/>
      <c r="W13" s="215">
        <v>20811.830000000002</v>
      </c>
      <c r="X13" s="216"/>
      <c r="Y13" s="215">
        <v>20811.830000000002</v>
      </c>
      <c r="Z13" s="216"/>
      <c r="AA13" s="215">
        <v>20811.830000000002</v>
      </c>
      <c r="AB13" s="216"/>
      <c r="AC13" s="215">
        <v>20811.830000000002</v>
      </c>
      <c r="AD13" s="216"/>
      <c r="AE13" s="234">
        <f>ROUND(SUM(G13:AC13),5)</f>
        <v>249741.55</v>
      </c>
      <c r="AG13" s="237">
        <f>+AI17+AE15+AE10</f>
        <v>455232.48</v>
      </c>
      <c r="AH13" s="237">
        <f>+AH9-AH12</f>
        <v>161732</v>
      </c>
    </row>
    <row r="14" spans="1:34" ht="16.149999999999999" thickBot="1">
      <c r="A14" s="214"/>
      <c r="B14" s="214"/>
      <c r="C14" s="214"/>
      <c r="D14" s="214"/>
      <c r="E14" s="214"/>
      <c r="F14" s="214" t="s">
        <v>237</v>
      </c>
      <c r="G14" s="218">
        <v>4808.88</v>
      </c>
      <c r="H14" s="216"/>
      <c r="I14" s="218">
        <v>4808.88</v>
      </c>
      <c r="J14" s="216"/>
      <c r="K14" s="218">
        <v>4808.88</v>
      </c>
      <c r="L14" s="216"/>
      <c r="M14" s="218">
        <v>5437.54</v>
      </c>
      <c r="N14" s="216"/>
      <c r="O14" s="218">
        <v>4966.04</v>
      </c>
      <c r="P14" s="216"/>
      <c r="Q14" s="218">
        <v>4966.04</v>
      </c>
      <c r="R14" s="216"/>
      <c r="S14" s="218">
        <v>4966.04</v>
      </c>
      <c r="T14" s="216"/>
      <c r="U14" s="218">
        <v>4966.04</v>
      </c>
      <c r="V14" s="216"/>
      <c r="W14" s="218">
        <v>4966.04</v>
      </c>
      <c r="X14" s="216"/>
      <c r="Y14" s="218">
        <v>4966.04</v>
      </c>
      <c r="Z14" s="216"/>
      <c r="AA14" s="218">
        <v>4966.04</v>
      </c>
      <c r="AB14" s="216"/>
      <c r="AC14" s="218">
        <v>4966.04</v>
      </c>
      <c r="AD14" s="216"/>
      <c r="AE14" s="218">
        <f>ROUND(SUM(G14:AC14),5)</f>
        <v>59592.5</v>
      </c>
      <c r="AG14" s="237">
        <f>+AG12-AG13</f>
        <v>1140489.99</v>
      </c>
    </row>
    <row r="15" spans="1:34">
      <c r="A15" s="214"/>
      <c r="B15" s="214"/>
      <c r="C15" s="214"/>
      <c r="D15" s="214"/>
      <c r="E15" s="214" t="s">
        <v>238</v>
      </c>
      <c r="F15" s="214"/>
      <c r="G15" s="215">
        <f>ROUND(SUM(G12:G14),5)</f>
        <v>23298.18</v>
      </c>
      <c r="H15" s="216"/>
      <c r="I15" s="215">
        <f>ROUND(SUM(I12:I14),5)</f>
        <v>23242.560000000001</v>
      </c>
      <c r="J15" s="216"/>
      <c r="K15" s="215">
        <f>ROUND(SUM(K12:K14),5)</f>
        <v>23228.98</v>
      </c>
      <c r="L15" s="216"/>
      <c r="M15" s="215">
        <f>ROUND(SUM(M12:M14),5)</f>
        <v>33341.370000000003</v>
      </c>
      <c r="N15" s="216"/>
      <c r="O15" s="215">
        <f>ROUND(SUM(O12:O14),5)</f>
        <v>25777.87</v>
      </c>
      <c r="P15" s="216"/>
      <c r="Q15" s="215">
        <f>ROUND(SUM(Q12:Q14),5)</f>
        <v>25777.87</v>
      </c>
      <c r="R15" s="216"/>
      <c r="S15" s="215">
        <f>ROUND(SUM(S12:S14),5)</f>
        <v>25777.87</v>
      </c>
      <c r="T15" s="216"/>
      <c r="U15" s="215">
        <f>ROUND(SUM(U12:U14),5)</f>
        <v>25777.87</v>
      </c>
      <c r="V15" s="216"/>
      <c r="W15" s="215">
        <f>ROUND(SUM(W12:W14),5)</f>
        <v>25777.87</v>
      </c>
      <c r="X15" s="216"/>
      <c r="Y15" s="215">
        <f>ROUND(SUM(Y12:Y14),5)</f>
        <v>25777.87</v>
      </c>
      <c r="Z15" s="216"/>
      <c r="AA15" s="215">
        <f>ROUND(SUM(AA12:AA14),5)</f>
        <v>25777.87</v>
      </c>
      <c r="AB15" s="216"/>
      <c r="AC15" s="215">
        <f>ROUND(SUM(AC12:AC14),5)</f>
        <v>25777.87</v>
      </c>
      <c r="AD15" s="216"/>
      <c r="AE15" s="215">
        <f>ROUND(SUM(G15:AC15),5)</f>
        <v>309334.05</v>
      </c>
    </row>
    <row r="16" spans="1:34">
      <c r="A16" s="214"/>
      <c r="B16" s="214"/>
      <c r="C16" s="214"/>
      <c r="D16" s="214"/>
      <c r="E16" s="214" t="s">
        <v>239</v>
      </c>
      <c r="F16" s="214"/>
      <c r="G16" s="215"/>
      <c r="H16" s="216"/>
      <c r="I16" s="215"/>
      <c r="J16" s="216"/>
      <c r="K16" s="215"/>
      <c r="L16" s="216"/>
      <c r="M16" s="215"/>
      <c r="N16" s="216"/>
      <c r="O16" s="215"/>
      <c r="P16" s="216"/>
      <c r="Q16" s="215"/>
      <c r="R16" s="216"/>
      <c r="S16" s="215"/>
      <c r="T16" s="216"/>
      <c r="U16" s="215"/>
      <c r="V16" s="216"/>
      <c r="W16" s="215"/>
      <c r="X16" s="216"/>
      <c r="Y16" s="215"/>
      <c r="Z16" s="216"/>
      <c r="AA16" s="215"/>
      <c r="AB16" s="216"/>
      <c r="AC16" s="215"/>
      <c r="AD16" s="216"/>
      <c r="AE16" s="215"/>
    </row>
    <row r="17" spans="1:33" ht="16.149999999999999" thickBot="1">
      <c r="A17" s="214"/>
      <c r="B17" s="214"/>
      <c r="C17" s="214"/>
      <c r="D17" s="214"/>
      <c r="E17" s="214"/>
      <c r="F17" s="214" t="s">
        <v>241</v>
      </c>
      <c r="G17" s="218">
        <v>84944.87</v>
      </c>
      <c r="H17" s="216"/>
      <c r="I17" s="218">
        <v>84147.520000000004</v>
      </c>
      <c r="J17" s="216"/>
      <c r="K17" s="218">
        <v>143737.64000000001</v>
      </c>
      <c r="L17" s="216"/>
      <c r="M17" s="218">
        <v>84147.520000000004</v>
      </c>
      <c r="N17" s="216"/>
      <c r="O17" s="218">
        <v>84147.520000000004</v>
      </c>
      <c r="P17" s="216"/>
      <c r="Q17" s="218">
        <v>84147.520000000004</v>
      </c>
      <c r="R17" s="216"/>
      <c r="S17" s="218">
        <v>84147.520000000004</v>
      </c>
      <c r="T17" s="216"/>
      <c r="U17" s="218">
        <v>84147.520000000004</v>
      </c>
      <c r="V17" s="216"/>
      <c r="W17" s="218">
        <v>84147.520000000004</v>
      </c>
      <c r="X17" s="216"/>
      <c r="Y17" s="218">
        <v>84147.520000000004</v>
      </c>
      <c r="Z17" s="216"/>
      <c r="AA17" s="218">
        <v>84147.520000000004</v>
      </c>
      <c r="AB17" s="216"/>
      <c r="AC17" s="218">
        <v>84147.520000000004</v>
      </c>
      <c r="AD17" s="216"/>
      <c r="AE17" s="235">
        <f>ROUND(SUM(G17:AC17),5)</f>
        <v>1070157.71</v>
      </c>
    </row>
    <row r="18" spans="1:33">
      <c r="A18" s="214"/>
      <c r="B18" s="214"/>
      <c r="C18" s="214"/>
      <c r="D18" s="214"/>
      <c r="E18" s="214" t="s">
        <v>242</v>
      </c>
      <c r="F18" s="214"/>
      <c r="G18" s="215">
        <f>ROUND(SUM(G16:G17),5)</f>
        <v>84944.87</v>
      </c>
      <c r="H18" s="216"/>
      <c r="I18" s="215">
        <f>ROUND(SUM(I16:I17),5)</f>
        <v>84147.520000000004</v>
      </c>
      <c r="J18" s="216"/>
      <c r="K18" s="215">
        <f>ROUND(SUM(K16:K17),5)</f>
        <v>143737.64000000001</v>
      </c>
      <c r="L18" s="216"/>
      <c r="M18" s="215">
        <f>ROUND(SUM(M16:M17),5)</f>
        <v>84147.520000000004</v>
      </c>
      <c r="N18" s="216"/>
      <c r="O18" s="215">
        <f>ROUND(SUM(O16:O17),5)</f>
        <v>84147.520000000004</v>
      </c>
      <c r="P18" s="216"/>
      <c r="Q18" s="215">
        <f>ROUND(SUM(Q16:Q17),5)</f>
        <v>84147.520000000004</v>
      </c>
      <c r="R18" s="216"/>
      <c r="S18" s="215">
        <f>ROUND(SUM(S16:S17),5)</f>
        <v>84147.520000000004</v>
      </c>
      <c r="T18" s="216"/>
      <c r="U18" s="215">
        <f>ROUND(SUM(U16:U17),5)</f>
        <v>84147.520000000004</v>
      </c>
      <c r="V18" s="216"/>
      <c r="W18" s="215">
        <f>ROUND(SUM(W16:W17),5)</f>
        <v>84147.520000000004</v>
      </c>
      <c r="X18" s="216"/>
      <c r="Y18" s="215">
        <f>ROUND(SUM(Y16:Y17),5)</f>
        <v>84147.520000000004</v>
      </c>
      <c r="Z18" s="216"/>
      <c r="AA18" s="215">
        <f>ROUND(SUM(AA16:AA17),5)</f>
        <v>84147.520000000004</v>
      </c>
      <c r="AB18" s="216"/>
      <c r="AC18" s="215">
        <f>ROUND(SUM(AC16:AC17),5)</f>
        <v>84147.520000000004</v>
      </c>
      <c r="AD18" s="216"/>
      <c r="AE18" s="215">
        <f>ROUND(SUM(G18:AC18),5)</f>
        <v>1070157.71</v>
      </c>
    </row>
    <row r="19" spans="1:33" ht="16.149999999999999" thickBot="1">
      <c r="A19" s="214"/>
      <c r="B19" s="214"/>
      <c r="C19" s="214"/>
      <c r="D19" s="214"/>
      <c r="E19" s="214" t="s">
        <v>243</v>
      </c>
      <c r="F19" s="214"/>
      <c r="G19" s="215">
        <v>9524.5</v>
      </c>
      <c r="H19" s="216"/>
      <c r="I19" s="215">
        <v>4069.97</v>
      </c>
      <c r="J19" s="216"/>
      <c r="K19" s="215">
        <v>0</v>
      </c>
      <c r="L19" s="216"/>
      <c r="M19" s="215">
        <v>0</v>
      </c>
      <c r="N19" s="216"/>
      <c r="O19" s="215">
        <v>0</v>
      </c>
      <c r="P19" s="216"/>
      <c r="Q19" s="215">
        <v>0</v>
      </c>
      <c r="R19" s="216"/>
      <c r="S19" s="215">
        <v>0</v>
      </c>
      <c r="T19" s="216"/>
      <c r="U19" s="215">
        <v>0</v>
      </c>
      <c r="V19" s="216"/>
      <c r="W19" s="215">
        <v>0</v>
      </c>
      <c r="X19" s="216"/>
      <c r="Y19" s="215">
        <v>0</v>
      </c>
      <c r="Z19" s="216"/>
      <c r="AA19" s="215">
        <v>0</v>
      </c>
      <c r="AB19" s="216"/>
      <c r="AC19" s="215">
        <v>0</v>
      </c>
      <c r="AD19" s="216"/>
      <c r="AE19" s="234">
        <f>ROUND(SUM(G19:AC19),5)</f>
        <v>13594.47</v>
      </c>
    </row>
    <row r="20" spans="1:33" ht="16.149999999999999" thickBot="1">
      <c r="A20" s="214"/>
      <c r="B20" s="214"/>
      <c r="C20" s="214"/>
      <c r="D20" s="214" t="s">
        <v>244</v>
      </c>
      <c r="E20" s="214"/>
      <c r="F20" s="214"/>
      <c r="G20" s="219">
        <f>ROUND(SUM(G3:G4)+G7+G11+G15+SUM(G18:G19),5)</f>
        <v>221896.87</v>
      </c>
      <c r="H20" s="216"/>
      <c r="I20" s="219">
        <f>ROUND(SUM(I3:I4)+I7+I11+I15+SUM(I18:I19),5)</f>
        <v>227665.77</v>
      </c>
      <c r="J20" s="216"/>
      <c r="K20" s="219">
        <f>ROUND(SUM(K3:K4)+K7+K11+K15+SUM(K18:K19),5)</f>
        <v>286276.96999999997</v>
      </c>
      <c r="L20" s="216"/>
      <c r="M20" s="219">
        <f>ROUND(SUM(M3:M4)+M7+M11+M15+SUM(M18:M19),5)</f>
        <v>226103.07</v>
      </c>
      <c r="N20" s="216"/>
      <c r="O20" s="219">
        <f>ROUND(SUM(O3:O4)+O7+O11+O15+SUM(O18:O19),5)</f>
        <v>236867.32</v>
      </c>
      <c r="P20" s="216"/>
      <c r="Q20" s="219">
        <f>ROUND(SUM(Q3:Q4)+Q7+Q11+Q15+SUM(Q18:Q19),5)</f>
        <v>235867.32</v>
      </c>
      <c r="R20" s="216"/>
      <c r="S20" s="219">
        <f>ROUND(SUM(S3:S4)+S7+S11+S15+SUM(S18:S19),5)</f>
        <v>241848.9</v>
      </c>
      <c r="T20" s="216"/>
      <c r="U20" s="219">
        <f>ROUND(SUM(U3:U4)+U7+U11+U15+SUM(U18:U19),5)</f>
        <v>235867.32</v>
      </c>
      <c r="V20" s="216"/>
      <c r="W20" s="219">
        <f>ROUND(SUM(W3:W4)+W7+W11+W15+SUM(W18:W19),5)</f>
        <v>235867.32</v>
      </c>
      <c r="X20" s="216"/>
      <c r="Y20" s="219">
        <f>ROUND(SUM(Y3:Y4)+Y7+Y11+Y15+SUM(Y18:Y19),5)</f>
        <v>237867.32</v>
      </c>
      <c r="Z20" s="216"/>
      <c r="AA20" s="219">
        <f>ROUND(SUM(AA3:AA4)+AA7+AA11+AA15+SUM(AA18:AA19),5)</f>
        <v>235867.32</v>
      </c>
      <c r="AB20" s="216"/>
      <c r="AC20" s="219">
        <f>ROUND(SUM(AC3:AC4)+AC7+AC11+AC15+SUM(AC18:AC19),5)</f>
        <v>235867.32</v>
      </c>
      <c r="AD20" s="216"/>
      <c r="AE20" s="219">
        <f>ROUND(SUM(G20:AC20),5)</f>
        <v>2857862.82</v>
      </c>
    </row>
    <row r="21" spans="1:33">
      <c r="A21" s="214"/>
      <c r="B21" s="214"/>
      <c r="C21" s="214" t="s">
        <v>245</v>
      </c>
      <c r="D21" s="214"/>
      <c r="E21" s="214"/>
      <c r="F21" s="214"/>
      <c r="G21" s="215">
        <f>G20</f>
        <v>221896.87</v>
      </c>
      <c r="H21" s="216"/>
      <c r="I21" s="215">
        <f>I20</f>
        <v>227665.77</v>
      </c>
      <c r="J21" s="216"/>
      <c r="K21" s="215">
        <f>K20</f>
        <v>286276.96999999997</v>
      </c>
      <c r="L21" s="216"/>
      <c r="M21" s="215">
        <f>M20</f>
        <v>226103.07</v>
      </c>
      <c r="N21" s="216"/>
      <c r="O21" s="215">
        <f>O20</f>
        <v>236867.32</v>
      </c>
      <c r="P21" s="216"/>
      <c r="Q21" s="215">
        <f>Q20</f>
        <v>235867.32</v>
      </c>
      <c r="R21" s="216"/>
      <c r="S21" s="215">
        <f>S20</f>
        <v>241848.9</v>
      </c>
      <c r="T21" s="216"/>
      <c r="U21" s="215">
        <f>U20</f>
        <v>235867.32</v>
      </c>
      <c r="V21" s="216"/>
      <c r="W21" s="215">
        <f>W20</f>
        <v>235867.32</v>
      </c>
      <c r="X21" s="216"/>
      <c r="Y21" s="215">
        <f>Y20</f>
        <v>237867.32</v>
      </c>
      <c r="Z21" s="216"/>
      <c r="AA21" s="215">
        <f>AA20</f>
        <v>235867.32</v>
      </c>
      <c r="AB21" s="216"/>
      <c r="AC21" s="215">
        <f>AC20</f>
        <v>235867.32</v>
      </c>
      <c r="AD21" s="216"/>
      <c r="AE21" s="215">
        <f>ROUND(SUM(G21:AC21),5)</f>
        <v>2857862.82</v>
      </c>
    </row>
    <row r="22" spans="1:33">
      <c r="A22" s="214"/>
      <c r="B22" s="214"/>
      <c r="C22" s="214"/>
      <c r="D22" s="214" t="s">
        <v>246</v>
      </c>
      <c r="E22" s="214"/>
      <c r="F22" s="214"/>
      <c r="G22" s="215"/>
      <c r="H22" s="216"/>
      <c r="I22" s="215"/>
      <c r="J22" s="216"/>
      <c r="K22" s="215"/>
      <c r="L22" s="216"/>
      <c r="M22" s="215"/>
      <c r="N22" s="216"/>
      <c r="O22" s="215"/>
      <c r="P22" s="216"/>
      <c r="Q22" s="215"/>
      <c r="R22" s="216"/>
      <c r="S22" s="215"/>
      <c r="T22" s="216"/>
      <c r="U22" s="215"/>
      <c r="V22" s="216"/>
      <c r="W22" s="215"/>
      <c r="X22" s="216"/>
      <c r="Y22" s="215"/>
      <c r="Z22" s="216"/>
      <c r="AA22" s="215"/>
      <c r="AB22" s="216"/>
      <c r="AC22" s="215"/>
      <c r="AD22" s="216"/>
      <c r="AE22" s="215"/>
    </row>
    <row r="23" spans="1:33">
      <c r="A23" s="214"/>
      <c r="B23" s="214"/>
      <c r="C23" s="214"/>
      <c r="D23" s="214"/>
      <c r="E23" s="214" t="s">
        <v>247</v>
      </c>
      <c r="F23" s="214"/>
      <c r="G23" s="215"/>
      <c r="H23" s="216"/>
      <c r="I23" s="215"/>
      <c r="J23" s="216"/>
      <c r="K23" s="215"/>
      <c r="L23" s="216"/>
      <c r="M23" s="215"/>
      <c r="N23" s="216"/>
      <c r="O23" s="215"/>
      <c r="P23" s="216"/>
      <c r="Q23" s="215"/>
      <c r="R23" s="216"/>
      <c r="S23" s="215"/>
      <c r="T23" s="216"/>
      <c r="U23" s="215"/>
      <c r="V23" s="216"/>
      <c r="W23" s="215"/>
      <c r="X23" s="216"/>
      <c r="Y23" s="215"/>
      <c r="Z23" s="216"/>
      <c r="AA23" s="215"/>
      <c r="AB23" s="216"/>
      <c r="AC23" s="215"/>
      <c r="AD23" s="216"/>
      <c r="AE23" s="215"/>
    </row>
    <row r="24" spans="1:33">
      <c r="A24" s="214"/>
      <c r="B24" s="214"/>
      <c r="C24" s="214"/>
      <c r="D24" s="214"/>
      <c r="E24" s="214"/>
      <c r="F24" s="214" t="s">
        <v>248</v>
      </c>
      <c r="G24" s="215">
        <v>18000.62</v>
      </c>
      <c r="H24" s="216"/>
      <c r="I24" s="215">
        <v>22357.46</v>
      </c>
      <c r="J24" s="216"/>
      <c r="K24" s="215">
        <v>22357.46</v>
      </c>
      <c r="L24" s="216"/>
      <c r="M24" s="215">
        <v>22357.46</v>
      </c>
      <c r="N24" s="216"/>
      <c r="O24" s="220">
        <f>22357.46+87000</f>
        <v>109357.45999999999</v>
      </c>
      <c r="P24" s="216"/>
      <c r="Q24" s="215">
        <f>22357.46+5160</f>
        <v>27517.46</v>
      </c>
      <c r="R24" s="216"/>
      <c r="S24" s="215">
        <v>22357.46</v>
      </c>
      <c r="T24" s="216"/>
      <c r="U24" s="215">
        <v>22357.46</v>
      </c>
      <c r="V24" s="216"/>
      <c r="W24" s="215">
        <v>22357.46</v>
      </c>
      <c r="X24" s="216"/>
      <c r="Y24" s="215">
        <v>22357.46</v>
      </c>
      <c r="Z24" s="216"/>
      <c r="AA24" s="215">
        <v>22357.46</v>
      </c>
      <c r="AB24" s="216"/>
      <c r="AC24" s="215">
        <v>22357.46</v>
      </c>
      <c r="AD24" s="216"/>
      <c r="AE24" s="238">
        <f t="shared" ref="AE24:AE36" si="0">ROUND(SUM(G24:AC24),5)</f>
        <v>356092.68</v>
      </c>
      <c r="AG24" s="217" t="s">
        <v>356</v>
      </c>
    </row>
    <row r="25" spans="1:33">
      <c r="A25" s="214"/>
      <c r="B25" s="214"/>
      <c r="C25" s="214"/>
      <c r="D25" s="214"/>
      <c r="E25" s="214"/>
      <c r="F25" s="214" t="s">
        <v>249</v>
      </c>
      <c r="G25" s="215">
        <v>12274.18</v>
      </c>
      <c r="H25" s="216"/>
      <c r="I25" s="215">
        <v>20500.02</v>
      </c>
      <c r="J25" s="216"/>
      <c r="K25" s="215">
        <v>20500.02</v>
      </c>
      <c r="L25" s="216"/>
      <c r="M25" s="215">
        <v>20500.02</v>
      </c>
      <c r="N25" s="216"/>
      <c r="O25" s="215">
        <v>20500.02</v>
      </c>
      <c r="P25" s="216"/>
      <c r="Q25" s="215">
        <v>20500.02</v>
      </c>
      <c r="R25" s="216"/>
      <c r="S25" s="215">
        <v>20500.02</v>
      </c>
      <c r="T25" s="216"/>
      <c r="U25" s="215">
        <v>20500.02</v>
      </c>
      <c r="V25" s="216"/>
      <c r="W25" s="215">
        <v>20500.02</v>
      </c>
      <c r="X25" s="216"/>
      <c r="Y25" s="215">
        <v>20500.02</v>
      </c>
      <c r="Z25" s="216"/>
      <c r="AA25" s="215">
        <v>20500.02</v>
      </c>
      <c r="AB25" s="216"/>
      <c r="AC25" s="215">
        <v>20500.02</v>
      </c>
      <c r="AD25" s="216"/>
      <c r="AE25" s="238">
        <f t="shared" si="0"/>
        <v>237774.4</v>
      </c>
    </row>
    <row r="26" spans="1:33">
      <c r="A26" s="214"/>
      <c r="B26" s="214"/>
      <c r="C26" s="214"/>
      <c r="D26" s="214"/>
      <c r="E26" s="214"/>
      <c r="F26" s="214" t="s">
        <v>250</v>
      </c>
      <c r="G26" s="215">
        <v>13874.98</v>
      </c>
      <c r="H26" s="216"/>
      <c r="I26" s="215">
        <v>19891.580000000002</v>
      </c>
      <c r="J26" s="216"/>
      <c r="K26" s="215">
        <v>18016.580000000002</v>
      </c>
      <c r="L26" s="216"/>
      <c r="M26" s="215">
        <v>18016.580000000002</v>
      </c>
      <c r="N26" s="216"/>
      <c r="O26" s="215">
        <v>18016.580000000002</v>
      </c>
      <c r="P26" s="216"/>
      <c r="Q26" s="215">
        <v>18016.580000000002</v>
      </c>
      <c r="R26" s="216"/>
      <c r="S26" s="215">
        <v>18016.580000000002</v>
      </c>
      <c r="T26" s="216"/>
      <c r="U26" s="215">
        <v>18016.580000000002</v>
      </c>
      <c r="V26" s="216"/>
      <c r="W26" s="215">
        <v>18016.580000000002</v>
      </c>
      <c r="X26" s="216"/>
      <c r="Y26" s="215">
        <v>18016.580000000002</v>
      </c>
      <c r="Z26" s="216"/>
      <c r="AA26" s="215">
        <v>18016.580000000002</v>
      </c>
      <c r="AB26" s="216"/>
      <c r="AC26" s="215">
        <v>18016.580000000002</v>
      </c>
      <c r="AD26" s="216"/>
      <c r="AE26" s="238">
        <f t="shared" si="0"/>
        <v>213932.36</v>
      </c>
    </row>
    <row r="27" spans="1:33">
      <c r="A27" s="214"/>
      <c r="B27" s="214"/>
      <c r="C27" s="214"/>
      <c r="D27" s="214"/>
      <c r="E27" s="214"/>
      <c r="F27" s="214" t="s">
        <v>251</v>
      </c>
      <c r="G27" s="215">
        <v>7252.92</v>
      </c>
      <c r="H27" s="216"/>
      <c r="I27" s="215">
        <v>7213.16</v>
      </c>
      <c r="J27" s="216"/>
      <c r="K27" s="215">
        <v>7213.16</v>
      </c>
      <c r="L27" s="216"/>
      <c r="M27" s="215">
        <v>7213.16</v>
      </c>
      <c r="N27" s="216"/>
      <c r="O27" s="215">
        <v>7213.16</v>
      </c>
      <c r="P27" s="216"/>
      <c r="Q27" s="215">
        <v>7213.16</v>
      </c>
      <c r="R27" s="216"/>
      <c r="S27" s="215">
        <v>7213.16</v>
      </c>
      <c r="T27" s="216"/>
      <c r="U27" s="215">
        <v>7213.16</v>
      </c>
      <c r="V27" s="216"/>
      <c r="W27" s="215">
        <v>7213.16</v>
      </c>
      <c r="X27" s="216"/>
      <c r="Y27" s="215">
        <v>7213.16</v>
      </c>
      <c r="Z27" s="216"/>
      <c r="AA27" s="215">
        <v>7213.16</v>
      </c>
      <c r="AB27" s="216"/>
      <c r="AC27" s="215">
        <v>7213.16</v>
      </c>
      <c r="AD27" s="216"/>
      <c r="AE27" s="238">
        <f t="shared" si="0"/>
        <v>86597.68</v>
      </c>
    </row>
    <row r="28" spans="1:33">
      <c r="A28" s="214"/>
      <c r="B28" s="214"/>
      <c r="C28" s="214"/>
      <c r="D28" s="214"/>
      <c r="E28" s="214"/>
      <c r="F28" s="214" t="s">
        <v>357</v>
      </c>
      <c r="G28" s="215">
        <v>7817.1</v>
      </c>
      <c r="H28" s="216"/>
      <c r="I28" s="215">
        <v>0</v>
      </c>
      <c r="J28" s="216"/>
      <c r="K28" s="215">
        <v>0</v>
      </c>
      <c r="L28" s="216"/>
      <c r="M28" s="215">
        <v>0</v>
      </c>
      <c r="N28" s="216"/>
      <c r="O28" s="215">
        <v>0</v>
      </c>
      <c r="P28" s="216"/>
      <c r="Q28" s="215">
        <v>0</v>
      </c>
      <c r="R28" s="216"/>
      <c r="S28" s="215">
        <v>0</v>
      </c>
      <c r="T28" s="216"/>
      <c r="U28" s="215">
        <v>0</v>
      </c>
      <c r="V28" s="216"/>
      <c r="W28" s="215">
        <v>0</v>
      </c>
      <c r="X28" s="216"/>
      <c r="Y28" s="215">
        <v>0</v>
      </c>
      <c r="Z28" s="216"/>
      <c r="AA28" s="215">
        <v>0</v>
      </c>
      <c r="AB28" s="216"/>
      <c r="AC28" s="215">
        <v>0</v>
      </c>
      <c r="AD28" s="216"/>
      <c r="AE28" s="238">
        <f t="shared" si="0"/>
        <v>7817.1</v>
      </c>
    </row>
    <row r="29" spans="1:33">
      <c r="A29" s="214"/>
      <c r="B29" s="214"/>
      <c r="C29" s="214"/>
      <c r="D29" s="214"/>
      <c r="E29" s="214"/>
      <c r="F29" s="214" t="s">
        <v>252</v>
      </c>
      <c r="G29" s="215">
        <v>6240</v>
      </c>
      <c r="H29" s="216"/>
      <c r="I29" s="215">
        <v>6695</v>
      </c>
      <c r="J29" s="216"/>
      <c r="K29" s="215">
        <v>6695</v>
      </c>
      <c r="L29" s="216"/>
      <c r="M29" s="215">
        <v>6695</v>
      </c>
      <c r="N29" s="216"/>
      <c r="O29" s="215">
        <v>6695</v>
      </c>
      <c r="P29" s="216"/>
      <c r="Q29" s="215">
        <v>6695</v>
      </c>
      <c r="R29" s="216"/>
      <c r="S29" s="215">
        <v>6695</v>
      </c>
      <c r="T29" s="216"/>
      <c r="U29" s="215">
        <v>6695</v>
      </c>
      <c r="V29" s="216"/>
      <c r="W29" s="215">
        <v>6695</v>
      </c>
      <c r="X29" s="216"/>
      <c r="Y29" s="215">
        <v>6695</v>
      </c>
      <c r="Z29" s="216"/>
      <c r="AA29" s="215">
        <v>6695</v>
      </c>
      <c r="AB29" s="216"/>
      <c r="AC29" s="215">
        <v>6695</v>
      </c>
      <c r="AD29" s="216"/>
      <c r="AE29" s="215">
        <f t="shared" si="0"/>
        <v>79885</v>
      </c>
    </row>
    <row r="30" spans="1:33">
      <c r="A30" s="214"/>
      <c r="B30" s="214"/>
      <c r="C30" s="214"/>
      <c r="D30" s="214"/>
      <c r="E30" s="214"/>
      <c r="F30" s="214" t="s">
        <v>253</v>
      </c>
      <c r="G30" s="215">
        <v>37408.080000000002</v>
      </c>
      <c r="H30" s="216"/>
      <c r="I30" s="215">
        <v>9414.68</v>
      </c>
      <c r="J30" s="216"/>
      <c r="K30" s="215">
        <v>9414.68</v>
      </c>
      <c r="L30" s="216"/>
      <c r="M30" s="215">
        <v>9414.68</v>
      </c>
      <c r="N30" s="216"/>
      <c r="O30" s="215">
        <v>9414.68</v>
      </c>
      <c r="P30" s="216"/>
      <c r="Q30" s="215">
        <v>9414.68</v>
      </c>
      <c r="R30" s="216"/>
      <c r="S30" s="215">
        <v>9414.68</v>
      </c>
      <c r="T30" s="216"/>
      <c r="U30" s="215">
        <v>9414.68</v>
      </c>
      <c r="V30" s="216"/>
      <c r="W30" s="215">
        <v>9414.68</v>
      </c>
      <c r="X30" s="216"/>
      <c r="Y30" s="215">
        <v>9414.68</v>
      </c>
      <c r="Z30" s="216"/>
      <c r="AA30" s="215">
        <v>9414.68</v>
      </c>
      <c r="AB30" s="216"/>
      <c r="AC30" s="215">
        <v>9414.68</v>
      </c>
      <c r="AD30" s="216"/>
      <c r="AE30" s="215">
        <f t="shared" si="0"/>
        <v>140969.56</v>
      </c>
    </row>
    <row r="31" spans="1:33">
      <c r="A31" s="214"/>
      <c r="B31" s="214"/>
      <c r="C31" s="214"/>
      <c r="D31" s="214"/>
      <c r="E31" s="214"/>
      <c r="F31" s="214" t="s">
        <v>254</v>
      </c>
      <c r="G31" s="215">
        <v>0</v>
      </c>
      <c r="H31" s="216"/>
      <c r="I31" s="215">
        <v>0</v>
      </c>
      <c r="J31" s="216"/>
      <c r="K31" s="215">
        <v>0</v>
      </c>
      <c r="L31" s="216"/>
      <c r="M31" s="215">
        <v>0</v>
      </c>
      <c r="N31" s="216"/>
      <c r="O31" s="215">
        <v>0</v>
      </c>
      <c r="P31" s="216"/>
      <c r="Q31" s="215">
        <v>0</v>
      </c>
      <c r="R31" s="216"/>
      <c r="S31" s="215">
        <v>0</v>
      </c>
      <c r="T31" s="216"/>
      <c r="U31" s="215">
        <v>0</v>
      </c>
      <c r="V31" s="216"/>
      <c r="W31" s="215">
        <v>0</v>
      </c>
      <c r="X31" s="216"/>
      <c r="Y31" s="215">
        <v>0</v>
      </c>
      <c r="Z31" s="216"/>
      <c r="AA31" s="215">
        <v>0</v>
      </c>
      <c r="AB31" s="216"/>
      <c r="AC31" s="215">
        <v>0</v>
      </c>
      <c r="AD31" s="216"/>
      <c r="AE31" s="215">
        <f t="shared" si="0"/>
        <v>0</v>
      </c>
    </row>
    <row r="32" spans="1:33">
      <c r="A32" s="214"/>
      <c r="B32" s="214"/>
      <c r="C32" s="214"/>
      <c r="D32" s="214"/>
      <c r="E32" s="214"/>
      <c r="F32" s="214" t="s">
        <v>255</v>
      </c>
      <c r="G32" s="215">
        <v>15523.34</v>
      </c>
      <c r="H32" s="216"/>
      <c r="I32" s="215">
        <v>18551.38</v>
      </c>
      <c r="J32" s="216"/>
      <c r="K32" s="215">
        <v>18551.38</v>
      </c>
      <c r="L32" s="216"/>
      <c r="M32" s="215">
        <v>18551.38</v>
      </c>
      <c r="N32" s="216"/>
      <c r="O32" s="215">
        <v>18551.38</v>
      </c>
      <c r="P32" s="216"/>
      <c r="Q32" s="215">
        <v>18551.38</v>
      </c>
      <c r="R32" s="216"/>
      <c r="S32" s="215">
        <v>18551.38</v>
      </c>
      <c r="T32" s="216"/>
      <c r="U32" s="215">
        <v>18551.38</v>
      </c>
      <c r="V32" s="216"/>
      <c r="W32" s="215">
        <v>18551.38</v>
      </c>
      <c r="X32" s="216"/>
      <c r="Y32" s="215">
        <v>18551.38</v>
      </c>
      <c r="Z32" s="216"/>
      <c r="AA32" s="215">
        <v>18551.38</v>
      </c>
      <c r="AB32" s="216"/>
      <c r="AC32" s="215">
        <v>18551.38</v>
      </c>
      <c r="AD32" s="216"/>
      <c r="AE32" s="215">
        <f t="shared" si="0"/>
        <v>219588.52</v>
      </c>
    </row>
    <row r="33" spans="1:31">
      <c r="A33" s="214"/>
      <c r="B33" s="214"/>
      <c r="C33" s="214"/>
      <c r="D33" s="214"/>
      <c r="E33" s="214"/>
      <c r="F33" s="214" t="s">
        <v>358</v>
      </c>
      <c r="G33" s="215">
        <v>2832.5</v>
      </c>
      <c r="H33" s="216"/>
      <c r="I33" s="215">
        <v>0</v>
      </c>
      <c r="J33" s="216"/>
      <c r="K33" s="215">
        <v>0</v>
      </c>
      <c r="L33" s="216"/>
      <c r="M33" s="215">
        <v>0</v>
      </c>
      <c r="N33" s="216"/>
      <c r="O33" s="215">
        <v>0</v>
      </c>
      <c r="P33" s="216"/>
      <c r="Q33" s="215">
        <v>0</v>
      </c>
      <c r="R33" s="216"/>
      <c r="S33" s="215">
        <v>0</v>
      </c>
      <c r="T33" s="216"/>
      <c r="U33" s="215">
        <v>0</v>
      </c>
      <c r="V33" s="216"/>
      <c r="W33" s="215">
        <v>0</v>
      </c>
      <c r="X33" s="216"/>
      <c r="Y33" s="215">
        <v>0</v>
      </c>
      <c r="Z33" s="216"/>
      <c r="AA33" s="215">
        <v>0</v>
      </c>
      <c r="AB33" s="216"/>
      <c r="AC33" s="215">
        <v>0</v>
      </c>
      <c r="AD33" s="216"/>
      <c r="AE33" s="215">
        <f t="shared" si="0"/>
        <v>2832.5</v>
      </c>
    </row>
    <row r="34" spans="1:31">
      <c r="A34" s="214"/>
      <c r="B34" s="214"/>
      <c r="C34" s="214"/>
      <c r="D34" s="214"/>
      <c r="E34" s="214"/>
      <c r="F34" s="214" t="s">
        <v>256</v>
      </c>
      <c r="G34" s="215">
        <v>3500</v>
      </c>
      <c r="H34" s="216"/>
      <c r="I34" s="215">
        <v>3750</v>
      </c>
      <c r="J34" s="216"/>
      <c r="K34" s="215">
        <v>3750</v>
      </c>
      <c r="L34" s="216"/>
      <c r="M34" s="215">
        <v>3750</v>
      </c>
      <c r="N34" s="216"/>
      <c r="O34" s="215">
        <v>3750</v>
      </c>
      <c r="P34" s="216"/>
      <c r="Q34" s="215">
        <v>3750</v>
      </c>
      <c r="R34" s="216"/>
      <c r="S34" s="215">
        <v>3750</v>
      </c>
      <c r="T34" s="216"/>
      <c r="U34" s="215">
        <v>3750</v>
      </c>
      <c r="V34" s="216"/>
      <c r="W34" s="215">
        <v>3750</v>
      </c>
      <c r="X34" s="216"/>
      <c r="Y34" s="215">
        <v>3750</v>
      </c>
      <c r="Z34" s="216"/>
      <c r="AA34" s="215">
        <v>3750</v>
      </c>
      <c r="AB34" s="216"/>
      <c r="AC34" s="215">
        <v>3750</v>
      </c>
      <c r="AD34" s="216"/>
      <c r="AE34" s="215">
        <f t="shared" si="0"/>
        <v>44750</v>
      </c>
    </row>
    <row r="35" spans="1:31" ht="16.149999999999999" thickBot="1">
      <c r="A35" s="214"/>
      <c r="B35" s="214"/>
      <c r="C35" s="214"/>
      <c r="D35" s="214"/>
      <c r="E35" s="214"/>
      <c r="F35" s="214" t="s">
        <v>257</v>
      </c>
      <c r="G35" s="218">
        <v>3083.34</v>
      </c>
      <c r="H35" s="216"/>
      <c r="I35" s="218">
        <v>3175.84</v>
      </c>
      <c r="J35" s="216"/>
      <c r="K35" s="218">
        <v>3175.84</v>
      </c>
      <c r="L35" s="216"/>
      <c r="M35" s="218">
        <v>3175.84</v>
      </c>
      <c r="N35" s="216"/>
      <c r="O35" s="218">
        <v>3175.84</v>
      </c>
      <c r="P35" s="216"/>
      <c r="Q35" s="218">
        <v>3175.84</v>
      </c>
      <c r="R35" s="216"/>
      <c r="S35" s="218">
        <v>3175.84</v>
      </c>
      <c r="T35" s="216"/>
      <c r="U35" s="218">
        <v>3175.84</v>
      </c>
      <c r="V35" s="216"/>
      <c r="W35" s="218">
        <v>3175.84</v>
      </c>
      <c r="X35" s="216"/>
      <c r="Y35" s="218">
        <v>3175.84</v>
      </c>
      <c r="Z35" s="216"/>
      <c r="AA35" s="218">
        <v>3175.84</v>
      </c>
      <c r="AB35" s="216"/>
      <c r="AC35" s="218">
        <v>3175.84</v>
      </c>
      <c r="AD35" s="216"/>
      <c r="AE35" s="218">
        <f t="shared" si="0"/>
        <v>38017.58</v>
      </c>
    </row>
    <row r="36" spans="1:31">
      <c r="A36" s="214"/>
      <c r="B36" s="214"/>
      <c r="C36" s="214"/>
      <c r="D36" s="214"/>
      <c r="E36" s="214" t="s">
        <v>258</v>
      </c>
      <c r="F36" s="214"/>
      <c r="G36" s="215">
        <f>ROUND(SUM(G23:G35),5)</f>
        <v>127807.06</v>
      </c>
      <c r="H36" s="216"/>
      <c r="I36" s="215">
        <f>ROUND(SUM(I23:I35),5)</f>
        <v>111549.12</v>
      </c>
      <c r="J36" s="216"/>
      <c r="K36" s="215">
        <f>ROUND(SUM(K23:K35),5)</f>
        <v>109674.12</v>
      </c>
      <c r="L36" s="216"/>
      <c r="M36" s="215">
        <f>ROUND(SUM(M23:M35),5)</f>
        <v>109674.12</v>
      </c>
      <c r="N36" s="216"/>
      <c r="O36" s="215">
        <f>ROUND(SUM(O23:O35),5)</f>
        <v>196674.12</v>
      </c>
      <c r="P36" s="216"/>
      <c r="Q36" s="215">
        <f>ROUND(SUM(Q23:Q35),5)</f>
        <v>114834.12</v>
      </c>
      <c r="R36" s="216"/>
      <c r="S36" s="215">
        <f>ROUND(SUM(S23:S35),5)</f>
        <v>109674.12</v>
      </c>
      <c r="T36" s="216"/>
      <c r="U36" s="215">
        <f>ROUND(SUM(U23:U35),5)</f>
        <v>109674.12</v>
      </c>
      <c r="V36" s="216"/>
      <c r="W36" s="215">
        <f>ROUND(SUM(W23:W35),5)</f>
        <v>109674.12</v>
      </c>
      <c r="X36" s="216"/>
      <c r="Y36" s="215">
        <f>ROUND(SUM(Y23:Y35),5)</f>
        <v>109674.12</v>
      </c>
      <c r="Z36" s="216"/>
      <c r="AA36" s="215">
        <f>ROUND(SUM(AA23:AA35),5)</f>
        <v>109674.12</v>
      </c>
      <c r="AB36" s="216"/>
      <c r="AC36" s="215">
        <f>ROUND(SUM(AC23:AC35),5)</f>
        <v>109674.12</v>
      </c>
      <c r="AD36" s="216"/>
      <c r="AE36" s="215">
        <f t="shared" si="0"/>
        <v>1428257.38</v>
      </c>
    </row>
    <row r="37" spans="1:31">
      <c r="A37" s="214"/>
      <c r="B37" s="214"/>
      <c r="C37" s="214"/>
      <c r="D37" s="214"/>
      <c r="E37" s="214" t="s">
        <v>259</v>
      </c>
      <c r="F37" s="214"/>
      <c r="G37" s="215"/>
      <c r="H37" s="216"/>
      <c r="I37" s="215"/>
      <c r="J37" s="216"/>
      <c r="K37" s="215"/>
      <c r="L37" s="216"/>
      <c r="M37" s="215"/>
      <c r="N37" s="216"/>
      <c r="O37" s="215"/>
      <c r="P37" s="216"/>
      <c r="Q37" s="215"/>
      <c r="R37" s="216"/>
      <c r="S37" s="215"/>
      <c r="T37" s="216"/>
      <c r="U37" s="215"/>
      <c r="V37" s="216"/>
      <c r="W37" s="215"/>
      <c r="X37" s="216"/>
      <c r="Y37" s="215"/>
      <c r="Z37" s="216"/>
      <c r="AA37" s="215"/>
      <c r="AB37" s="216"/>
      <c r="AC37" s="215"/>
      <c r="AD37" s="216"/>
      <c r="AE37" s="215"/>
    </row>
    <row r="38" spans="1:31">
      <c r="A38" s="214"/>
      <c r="B38" s="214"/>
      <c r="C38" s="214"/>
      <c r="D38" s="214"/>
      <c r="E38" s="214"/>
      <c r="F38" s="214" t="s">
        <v>260</v>
      </c>
      <c r="G38" s="215">
        <v>13968.44</v>
      </c>
      <c r="H38" s="216"/>
      <c r="I38" s="215">
        <v>12622.94</v>
      </c>
      <c r="J38" s="216"/>
      <c r="K38" s="215">
        <v>12360.44</v>
      </c>
      <c r="L38" s="216"/>
      <c r="M38" s="215">
        <v>12622.94</v>
      </c>
      <c r="N38" s="216"/>
      <c r="O38" s="220">
        <f>12622.94</f>
        <v>12622.94</v>
      </c>
      <c r="P38" s="216"/>
      <c r="Q38" s="215">
        <v>12622.94</v>
      </c>
      <c r="R38" s="216"/>
      <c r="S38" s="215">
        <v>12622.94</v>
      </c>
      <c r="T38" s="216"/>
      <c r="U38" s="215">
        <v>12622.94</v>
      </c>
      <c r="V38" s="216"/>
      <c r="W38" s="215">
        <v>12622.94</v>
      </c>
      <c r="X38" s="216"/>
      <c r="Y38" s="215">
        <v>12622.94</v>
      </c>
      <c r="Z38" s="216"/>
      <c r="AA38" s="215">
        <v>12622.94</v>
      </c>
      <c r="AB38" s="216"/>
      <c r="AC38" s="215">
        <v>12622.94</v>
      </c>
      <c r="AD38" s="216"/>
      <c r="AE38" s="215">
        <f t="shared" ref="AE38:AE44" si="1">ROUND(SUM(G38:AC38),5)</f>
        <v>152558.28</v>
      </c>
    </row>
    <row r="39" spans="1:31">
      <c r="A39" s="214"/>
      <c r="B39" s="214"/>
      <c r="C39" s="214"/>
      <c r="D39" s="214"/>
      <c r="E39" s="214"/>
      <c r="F39" s="214" t="s">
        <v>261</v>
      </c>
      <c r="G39" s="215">
        <v>1853.24</v>
      </c>
      <c r="H39" s="216"/>
      <c r="I39" s="215">
        <v>1617.45</v>
      </c>
      <c r="J39" s="216"/>
      <c r="K39" s="215">
        <v>1590.3</v>
      </c>
      <c r="L39" s="216"/>
      <c r="M39" s="215">
        <v>1617.45</v>
      </c>
      <c r="N39" s="216"/>
      <c r="O39" s="220">
        <f>1590.3+1261.5</f>
        <v>2851.8</v>
      </c>
      <c r="P39" s="216"/>
      <c r="Q39" s="215">
        <v>1617.45</v>
      </c>
      <c r="R39" s="216"/>
      <c r="S39" s="215">
        <v>1617.45</v>
      </c>
      <c r="T39" s="216"/>
      <c r="U39" s="215">
        <v>1617.45</v>
      </c>
      <c r="V39" s="216"/>
      <c r="W39" s="215">
        <v>1617.45</v>
      </c>
      <c r="X39" s="216"/>
      <c r="Y39" s="215">
        <v>1617.45</v>
      </c>
      <c r="Z39" s="216"/>
      <c r="AA39" s="215">
        <v>1617.45</v>
      </c>
      <c r="AB39" s="216"/>
      <c r="AC39" s="215">
        <v>1617.45</v>
      </c>
      <c r="AD39" s="216"/>
      <c r="AE39" s="215">
        <f t="shared" si="1"/>
        <v>20852.39</v>
      </c>
    </row>
    <row r="40" spans="1:31">
      <c r="A40" s="214"/>
      <c r="B40" s="214"/>
      <c r="C40" s="214"/>
      <c r="D40" s="214"/>
      <c r="E40" s="214"/>
      <c r="F40" s="214" t="s">
        <v>262</v>
      </c>
      <c r="G40" s="215">
        <v>3959.85</v>
      </c>
      <c r="H40" s="216"/>
      <c r="I40" s="215">
        <v>2993.9</v>
      </c>
      <c r="J40" s="216"/>
      <c r="K40" s="215">
        <v>2993.9</v>
      </c>
      <c r="L40" s="216"/>
      <c r="M40" s="215">
        <v>2993.9</v>
      </c>
      <c r="N40" s="216"/>
      <c r="O40" s="215">
        <v>2993.9</v>
      </c>
      <c r="P40" s="216"/>
      <c r="Q40" s="215">
        <v>2993.9</v>
      </c>
      <c r="R40" s="216"/>
      <c r="S40" s="215">
        <v>2993.9</v>
      </c>
      <c r="T40" s="216"/>
      <c r="U40" s="215">
        <v>2993.9</v>
      </c>
      <c r="V40" s="216"/>
      <c r="W40" s="215">
        <v>2993.9</v>
      </c>
      <c r="X40" s="216"/>
      <c r="Y40" s="215">
        <v>2993.9</v>
      </c>
      <c r="Z40" s="216"/>
      <c r="AA40" s="215">
        <v>2993.9</v>
      </c>
      <c r="AB40" s="216"/>
      <c r="AC40" s="215">
        <v>2993.9</v>
      </c>
      <c r="AD40" s="216"/>
      <c r="AE40" s="215">
        <f t="shared" si="1"/>
        <v>36892.75</v>
      </c>
    </row>
    <row r="41" spans="1:31">
      <c r="A41" s="214"/>
      <c r="B41" s="214"/>
      <c r="C41" s="214"/>
      <c r="D41" s="214"/>
      <c r="E41" s="214"/>
      <c r="F41" s="214" t="s">
        <v>263</v>
      </c>
      <c r="G41" s="215">
        <v>7512.6</v>
      </c>
      <c r="H41" s="216"/>
      <c r="I41" s="215">
        <v>7443.86</v>
      </c>
      <c r="J41" s="216"/>
      <c r="K41" s="215">
        <v>12477.13</v>
      </c>
      <c r="L41" s="216"/>
      <c r="M41" s="215">
        <f>7443.86+1500</f>
        <v>8943.86</v>
      </c>
      <c r="N41" s="216"/>
      <c r="O41" s="215">
        <f t="shared" ref="O41:AB41" si="2">7443.86+1500</f>
        <v>8943.86</v>
      </c>
      <c r="P41" s="215"/>
      <c r="Q41" s="215">
        <f>7443.86+1500</f>
        <v>8943.86</v>
      </c>
      <c r="R41" s="215"/>
      <c r="S41" s="215">
        <f>7443.86+1500</f>
        <v>8943.86</v>
      </c>
      <c r="T41" s="215"/>
      <c r="U41" s="215">
        <f>7443.86+1500</f>
        <v>8943.86</v>
      </c>
      <c r="V41" s="215"/>
      <c r="W41" s="215">
        <f>7443.86+1500</f>
        <v>8943.86</v>
      </c>
      <c r="X41" s="215"/>
      <c r="Y41" s="215">
        <f>7443.86+1500</f>
        <v>8943.86</v>
      </c>
      <c r="Z41" s="215"/>
      <c r="AA41" s="215">
        <f>7443.86+1500</f>
        <v>8943.86</v>
      </c>
      <c r="AB41" s="215">
        <f t="shared" si="2"/>
        <v>8943.86</v>
      </c>
      <c r="AC41" s="215">
        <f>7443.86+1500</f>
        <v>8943.86</v>
      </c>
      <c r="AD41" s="216"/>
      <c r="AE41" s="215">
        <f t="shared" si="1"/>
        <v>116872.19</v>
      </c>
    </row>
    <row r="42" spans="1:31">
      <c r="A42" s="214"/>
      <c r="B42" s="214"/>
      <c r="C42" s="214"/>
      <c r="D42" s="214"/>
      <c r="E42" s="214"/>
      <c r="F42" s="214" t="s">
        <v>264</v>
      </c>
      <c r="G42" s="215">
        <v>0</v>
      </c>
      <c r="H42" s="216"/>
      <c r="I42" s="215">
        <v>285.56</v>
      </c>
      <c r="J42" s="216"/>
      <c r="K42" s="215">
        <v>285.56</v>
      </c>
      <c r="L42" s="216"/>
      <c r="M42" s="215">
        <v>285.56</v>
      </c>
      <c r="N42" s="216"/>
      <c r="O42" s="215">
        <v>285.56</v>
      </c>
      <c r="P42" s="216"/>
      <c r="Q42" s="215">
        <v>285.56</v>
      </c>
      <c r="R42" s="216"/>
      <c r="S42" s="215">
        <v>285.56</v>
      </c>
      <c r="T42" s="216"/>
      <c r="U42" s="215">
        <v>285.56</v>
      </c>
      <c r="V42" s="216"/>
      <c r="W42" s="215">
        <v>285.56</v>
      </c>
      <c r="X42" s="216"/>
      <c r="Y42" s="215">
        <v>285.56</v>
      </c>
      <c r="Z42" s="216"/>
      <c r="AA42" s="215">
        <v>285.56</v>
      </c>
      <c r="AB42" s="216"/>
      <c r="AC42" s="215">
        <v>285.56</v>
      </c>
      <c r="AD42" s="216"/>
      <c r="AE42" s="215">
        <f t="shared" si="1"/>
        <v>3141.16</v>
      </c>
    </row>
    <row r="43" spans="1:31" ht="16.149999999999999" thickBot="1">
      <c r="A43" s="214"/>
      <c r="B43" s="214"/>
      <c r="C43" s="214"/>
      <c r="D43" s="214"/>
      <c r="E43" s="214"/>
      <c r="F43" s="214" t="s">
        <v>265</v>
      </c>
      <c r="G43" s="218">
        <v>0</v>
      </c>
      <c r="H43" s="216"/>
      <c r="I43" s="218">
        <v>716.63</v>
      </c>
      <c r="J43" s="216"/>
      <c r="K43" s="218">
        <v>655.87</v>
      </c>
      <c r="L43" s="216"/>
      <c r="M43" s="218">
        <v>716.63</v>
      </c>
      <c r="N43" s="216"/>
      <c r="O43" s="218">
        <v>655.87</v>
      </c>
      <c r="P43" s="216"/>
      <c r="Q43" s="218">
        <v>716.63</v>
      </c>
      <c r="R43" s="216"/>
      <c r="S43" s="218">
        <v>716.63</v>
      </c>
      <c r="T43" s="216"/>
      <c r="U43" s="218">
        <v>716.63</v>
      </c>
      <c r="V43" s="216"/>
      <c r="W43" s="218">
        <v>716.63</v>
      </c>
      <c r="X43" s="216"/>
      <c r="Y43" s="218">
        <v>716.63</v>
      </c>
      <c r="Z43" s="216"/>
      <c r="AA43" s="218">
        <v>716.63</v>
      </c>
      <c r="AB43" s="216"/>
      <c r="AC43" s="218">
        <v>716.63</v>
      </c>
      <c r="AD43" s="216"/>
      <c r="AE43" s="218">
        <f t="shared" si="1"/>
        <v>7761.41</v>
      </c>
    </row>
    <row r="44" spans="1:31">
      <c r="A44" s="214"/>
      <c r="B44" s="214"/>
      <c r="C44" s="214"/>
      <c r="D44" s="214"/>
      <c r="E44" s="214" t="s">
        <v>266</v>
      </c>
      <c r="F44" s="214"/>
      <c r="G44" s="215">
        <f>ROUND(SUM(G37:G43),5)</f>
        <v>27294.13</v>
      </c>
      <c r="H44" s="216"/>
      <c r="I44" s="215">
        <f>ROUND(SUM(I37:I43),5)</f>
        <v>25680.34</v>
      </c>
      <c r="J44" s="216"/>
      <c r="K44" s="215">
        <f>ROUND(SUM(K37:K43),5)</f>
        <v>30363.200000000001</v>
      </c>
      <c r="L44" s="216"/>
      <c r="M44" s="215">
        <f>ROUND(SUM(M37:M43),5)</f>
        <v>27180.34</v>
      </c>
      <c r="N44" s="216"/>
      <c r="O44" s="215">
        <f>ROUND(SUM(O37:O43),5)</f>
        <v>28353.93</v>
      </c>
      <c r="P44" s="216"/>
      <c r="Q44" s="215">
        <f>ROUND(SUM(Q37:Q43),5)</f>
        <v>27180.34</v>
      </c>
      <c r="R44" s="216"/>
      <c r="S44" s="215">
        <f>ROUND(SUM(S37:S43),5)</f>
        <v>27180.34</v>
      </c>
      <c r="T44" s="216"/>
      <c r="U44" s="215">
        <f>ROUND(SUM(U37:U43),5)</f>
        <v>27180.34</v>
      </c>
      <c r="V44" s="216"/>
      <c r="W44" s="215">
        <f>ROUND(SUM(W37:W43),5)</f>
        <v>27180.34</v>
      </c>
      <c r="X44" s="216"/>
      <c r="Y44" s="215">
        <f>ROUND(SUM(Y37:Y43),5)</f>
        <v>27180.34</v>
      </c>
      <c r="Z44" s="216"/>
      <c r="AA44" s="215">
        <f>ROUND(SUM(AA37:AA43),5)</f>
        <v>27180.34</v>
      </c>
      <c r="AB44" s="216"/>
      <c r="AC44" s="215">
        <f>ROUND(SUM(AC37:AC43),5)</f>
        <v>27180.34</v>
      </c>
      <c r="AD44" s="216"/>
      <c r="AE44" s="215">
        <f t="shared" si="1"/>
        <v>329134.32</v>
      </c>
    </row>
    <row r="45" spans="1:31">
      <c r="A45" s="214"/>
      <c r="B45" s="214"/>
      <c r="C45" s="214"/>
      <c r="D45" s="214"/>
      <c r="E45" s="214" t="s">
        <v>267</v>
      </c>
      <c r="F45" s="214"/>
      <c r="G45" s="215"/>
      <c r="H45" s="216"/>
      <c r="I45" s="215"/>
      <c r="J45" s="216"/>
      <c r="K45" s="215"/>
      <c r="L45" s="216"/>
      <c r="M45" s="215"/>
      <c r="N45" s="216"/>
      <c r="O45" s="215"/>
      <c r="P45" s="216"/>
      <c r="Q45" s="215"/>
      <c r="R45" s="216"/>
      <c r="S45" s="215"/>
      <c r="T45" s="216"/>
      <c r="U45" s="215"/>
      <c r="V45" s="216"/>
      <c r="W45" s="215"/>
      <c r="X45" s="216"/>
      <c r="Y45" s="215"/>
      <c r="Z45" s="216"/>
      <c r="AA45" s="215"/>
      <c r="AB45" s="216"/>
      <c r="AC45" s="215"/>
      <c r="AD45" s="216"/>
      <c r="AE45" s="215"/>
    </row>
    <row r="46" spans="1:31">
      <c r="A46" s="214"/>
      <c r="B46" s="214"/>
      <c r="C46" s="214"/>
      <c r="D46" s="214"/>
      <c r="E46" s="214"/>
      <c r="F46" s="214" t="s">
        <v>268</v>
      </c>
      <c r="G46" s="215">
        <v>2836</v>
      </c>
      <c r="H46" s="216"/>
      <c r="I46" s="215">
        <v>500</v>
      </c>
      <c r="J46" s="216"/>
      <c r="K46" s="215">
        <v>0</v>
      </c>
      <c r="L46" s="216"/>
      <c r="M46" s="215">
        <v>0</v>
      </c>
      <c r="N46" s="216"/>
      <c r="O46" s="215">
        <v>0</v>
      </c>
      <c r="P46" s="216"/>
      <c r="Q46" s="215">
        <v>0</v>
      </c>
      <c r="R46" s="216"/>
      <c r="S46" s="215">
        <v>0</v>
      </c>
      <c r="T46" s="216"/>
      <c r="U46" s="215">
        <v>0</v>
      </c>
      <c r="V46" s="216"/>
      <c r="W46" s="215">
        <v>0</v>
      </c>
      <c r="X46" s="216"/>
      <c r="Y46" s="215">
        <v>0</v>
      </c>
      <c r="Z46" s="216"/>
      <c r="AA46" s="215">
        <v>0</v>
      </c>
      <c r="AB46" s="216"/>
      <c r="AC46" s="215">
        <v>0</v>
      </c>
      <c r="AD46" s="216"/>
      <c r="AE46" s="215">
        <f t="shared" ref="AE46:AE73" si="3">ROUND(SUM(G46:AC46),5)</f>
        <v>3336</v>
      </c>
    </row>
    <row r="47" spans="1:31">
      <c r="A47" s="214"/>
      <c r="B47" s="214"/>
      <c r="C47" s="214"/>
      <c r="D47" s="214"/>
      <c r="E47" s="214"/>
      <c r="F47" s="214" t="s">
        <v>331</v>
      </c>
      <c r="G47" s="215">
        <v>0</v>
      </c>
      <c r="H47" s="216"/>
      <c r="I47" s="215">
        <v>2850</v>
      </c>
      <c r="J47" s="216"/>
      <c r="K47" s="215">
        <v>498</v>
      </c>
      <c r="L47" s="216"/>
      <c r="M47" s="215">
        <v>0</v>
      </c>
      <c r="N47" s="216"/>
      <c r="O47" s="215">
        <v>0</v>
      </c>
      <c r="P47" s="216"/>
      <c r="Q47" s="215">
        <v>0</v>
      </c>
      <c r="R47" s="216"/>
      <c r="S47" s="215">
        <v>0</v>
      </c>
      <c r="T47" s="216"/>
      <c r="U47" s="215">
        <v>0</v>
      </c>
      <c r="V47" s="216"/>
      <c r="W47" s="215">
        <v>0</v>
      </c>
      <c r="X47" s="216"/>
      <c r="Y47" s="215">
        <v>0</v>
      </c>
      <c r="Z47" s="216"/>
      <c r="AA47" s="215">
        <v>0</v>
      </c>
      <c r="AB47" s="216"/>
      <c r="AC47" s="215">
        <v>0</v>
      </c>
      <c r="AD47" s="216"/>
      <c r="AE47" s="215">
        <f t="shared" si="3"/>
        <v>3348</v>
      </c>
    </row>
    <row r="48" spans="1:31">
      <c r="A48" s="214"/>
      <c r="B48" s="214"/>
      <c r="C48" s="214"/>
      <c r="D48" s="214"/>
      <c r="E48" s="214"/>
      <c r="F48" s="214" t="s">
        <v>335</v>
      </c>
      <c r="G48" s="215">
        <v>0</v>
      </c>
      <c r="H48" s="216"/>
      <c r="I48" s="215">
        <v>3158.75</v>
      </c>
      <c r="J48" s="216"/>
      <c r="K48" s="215">
        <v>3158.75</v>
      </c>
      <c r="L48" s="216"/>
      <c r="M48" s="215">
        <f>3158.75+2000</f>
        <v>5158.75</v>
      </c>
      <c r="N48" s="216"/>
      <c r="O48" s="215">
        <v>3158.75</v>
      </c>
      <c r="P48" s="216"/>
      <c r="Q48" s="215">
        <f>3158.75+2000</f>
        <v>5158.75</v>
      </c>
      <c r="R48" s="216"/>
      <c r="S48" s="215">
        <v>3158.75</v>
      </c>
      <c r="T48" s="216"/>
      <c r="U48" s="215">
        <f>3158.75+2000</f>
        <v>5158.75</v>
      </c>
      <c r="V48" s="216"/>
      <c r="W48" s="215">
        <v>3158.75</v>
      </c>
      <c r="X48" s="216"/>
      <c r="Y48" s="215">
        <f>3158.75+2000</f>
        <v>5158.75</v>
      </c>
      <c r="Z48" s="216"/>
      <c r="AA48" s="215">
        <f>3158.75+2000</f>
        <v>5158.75</v>
      </c>
      <c r="AB48" s="216"/>
      <c r="AC48" s="215">
        <v>3158.75</v>
      </c>
      <c r="AD48" s="216"/>
      <c r="AE48" s="215">
        <f t="shared" si="3"/>
        <v>44746.25</v>
      </c>
    </row>
    <row r="49" spans="1:33">
      <c r="A49" s="214"/>
      <c r="B49" s="214"/>
      <c r="C49" s="214"/>
      <c r="D49" s="214"/>
      <c r="E49" s="214"/>
      <c r="F49" s="214" t="s">
        <v>270</v>
      </c>
      <c r="G49" s="215">
        <v>11250</v>
      </c>
      <c r="H49" s="216"/>
      <c r="I49" s="215">
        <v>11250</v>
      </c>
      <c r="J49" s="216"/>
      <c r="K49" s="215">
        <v>11250</v>
      </c>
      <c r="L49" s="216"/>
      <c r="M49" s="215">
        <v>11250</v>
      </c>
      <c r="N49" s="216"/>
      <c r="O49" s="215">
        <v>11250</v>
      </c>
      <c r="P49" s="216"/>
      <c r="Q49" s="215">
        <v>11250</v>
      </c>
      <c r="R49" s="216"/>
      <c r="S49" s="215">
        <v>11250</v>
      </c>
      <c r="T49" s="216"/>
      <c r="U49" s="215">
        <v>11250</v>
      </c>
      <c r="V49" s="216"/>
      <c r="W49" s="215">
        <v>11250</v>
      </c>
      <c r="X49" s="216"/>
      <c r="Y49" s="215">
        <v>11250</v>
      </c>
      <c r="Z49" s="216"/>
      <c r="AA49" s="215">
        <v>11250</v>
      </c>
      <c r="AB49" s="216"/>
      <c r="AC49" s="215">
        <v>11250</v>
      </c>
      <c r="AD49" s="216"/>
      <c r="AE49" s="215">
        <f t="shared" si="3"/>
        <v>135000</v>
      </c>
    </row>
    <row r="50" spans="1:33">
      <c r="A50" s="214"/>
      <c r="B50" s="214"/>
      <c r="C50" s="214"/>
      <c r="D50" s="214"/>
      <c r="E50" s="214"/>
      <c r="F50" s="214" t="s">
        <v>271</v>
      </c>
      <c r="G50" s="215">
        <v>3809.83</v>
      </c>
      <c r="H50" s="216"/>
      <c r="I50" s="215">
        <v>4183.42</v>
      </c>
      <c r="J50" s="216"/>
      <c r="K50" s="215">
        <v>3909.77</v>
      </c>
      <c r="L50" s="216"/>
      <c r="M50" s="215">
        <f>SUM(M9+M10+M13+M14)*0.03</f>
        <v>4258.6379999999999</v>
      </c>
      <c r="N50" s="216"/>
      <c r="O50" s="215">
        <f>SUM(O9+O10+O13+O14)*0.03</f>
        <v>4551.5654999999997</v>
      </c>
      <c r="P50" s="216"/>
      <c r="Q50" s="215">
        <f>SUM(Q9+Q10+Q13+Q14)*0.03</f>
        <v>4551.5654999999997</v>
      </c>
      <c r="R50" s="216"/>
      <c r="S50" s="215">
        <f>SUM(S9+S10+S13+S14)*0.03</f>
        <v>4701.0129000000006</v>
      </c>
      <c r="T50" s="216"/>
      <c r="U50" s="215">
        <f>SUM(U9+U10+U13+U14)*0.03</f>
        <v>4551.5654999999997</v>
      </c>
      <c r="V50" s="216"/>
      <c r="W50" s="215">
        <f>SUM(W9+W10+W13+W14)*0.03</f>
        <v>4551.5654999999997</v>
      </c>
      <c r="X50" s="216"/>
      <c r="Y50" s="215">
        <f>SUM(Y9+Y10+Y13+Y14)*0.03</f>
        <v>4551.5654999999997</v>
      </c>
      <c r="Z50" s="216"/>
      <c r="AA50" s="215">
        <f>SUM(AA9+AA10+AA13+AA14)*0.03</f>
        <v>4551.5654999999997</v>
      </c>
      <c r="AB50" s="216"/>
      <c r="AC50" s="215">
        <f>SUM(AC9+AC10+AC13+AC14)*0.03</f>
        <v>4551.5654999999997</v>
      </c>
      <c r="AD50" s="216"/>
      <c r="AE50" s="215">
        <f t="shared" si="3"/>
        <v>52723.629399999998</v>
      </c>
    </row>
    <row r="51" spans="1:33">
      <c r="A51" s="214"/>
      <c r="B51" s="214"/>
      <c r="C51" s="214"/>
      <c r="D51" s="214"/>
      <c r="E51" s="214"/>
      <c r="F51" s="214" t="s">
        <v>272</v>
      </c>
      <c r="G51" s="215">
        <v>8404.2000000000007</v>
      </c>
      <c r="H51" s="216"/>
      <c r="I51" s="215">
        <v>5.99</v>
      </c>
      <c r="J51" s="216"/>
      <c r="K51" s="215">
        <v>0</v>
      </c>
      <c r="L51" s="216"/>
      <c r="M51" s="215">
        <v>0</v>
      </c>
      <c r="N51" s="216"/>
      <c r="O51" s="215">
        <v>0</v>
      </c>
      <c r="P51" s="216"/>
      <c r="Q51" s="215">
        <v>0</v>
      </c>
      <c r="R51" s="216"/>
      <c r="S51" s="215">
        <v>0</v>
      </c>
      <c r="T51" s="216"/>
      <c r="U51" s="215">
        <v>0</v>
      </c>
      <c r="V51" s="216"/>
      <c r="W51" s="215">
        <v>0</v>
      </c>
      <c r="X51" s="216"/>
      <c r="Y51" s="215">
        <v>0</v>
      </c>
      <c r="Z51" s="216"/>
      <c r="AA51" s="215">
        <v>0</v>
      </c>
      <c r="AB51" s="216"/>
      <c r="AC51" s="215">
        <v>0</v>
      </c>
      <c r="AD51" s="216"/>
      <c r="AE51" s="215">
        <f t="shared" si="3"/>
        <v>8410.19</v>
      </c>
    </row>
    <row r="52" spans="1:33">
      <c r="A52" s="214"/>
      <c r="B52" s="214"/>
      <c r="C52" s="214"/>
      <c r="D52" s="214"/>
      <c r="E52" s="214"/>
      <c r="F52" s="214" t="s">
        <v>273</v>
      </c>
      <c r="G52" s="215">
        <v>625</v>
      </c>
      <c r="H52" s="216"/>
      <c r="I52" s="215">
        <v>1375</v>
      </c>
      <c r="J52" s="216"/>
      <c r="K52" s="215">
        <v>625</v>
      </c>
      <c r="L52" s="216"/>
      <c r="M52" s="215">
        <v>625</v>
      </c>
      <c r="N52" s="216"/>
      <c r="O52" s="215">
        <v>625</v>
      </c>
      <c r="P52" s="216"/>
      <c r="Q52" s="215">
        <v>625</v>
      </c>
      <c r="R52" s="216"/>
      <c r="S52" s="215">
        <v>625</v>
      </c>
      <c r="T52" s="216"/>
      <c r="U52" s="215">
        <v>625</v>
      </c>
      <c r="V52" s="216"/>
      <c r="W52" s="215">
        <v>625</v>
      </c>
      <c r="X52" s="216"/>
      <c r="Y52" s="215">
        <v>625</v>
      </c>
      <c r="Z52" s="216"/>
      <c r="AA52" s="215">
        <v>625</v>
      </c>
      <c r="AB52" s="216"/>
      <c r="AC52" s="215">
        <v>625</v>
      </c>
      <c r="AD52" s="216"/>
      <c r="AE52" s="215">
        <f t="shared" si="3"/>
        <v>8250</v>
      </c>
    </row>
    <row r="53" spans="1:33">
      <c r="A53" s="214"/>
      <c r="B53" s="214"/>
      <c r="C53" s="214"/>
      <c r="D53" s="214"/>
      <c r="E53" s="214"/>
      <c r="F53" s="214" t="s">
        <v>274</v>
      </c>
      <c r="G53" s="215">
        <v>3746</v>
      </c>
      <c r="H53" s="216"/>
      <c r="I53" s="215">
        <v>3500</v>
      </c>
      <c r="J53" s="216"/>
      <c r="K53" s="215">
        <v>3500</v>
      </c>
      <c r="L53" s="216"/>
      <c r="M53" s="215">
        <v>3500</v>
      </c>
      <c r="N53" s="216"/>
      <c r="O53" s="215">
        <f>3500+1000</f>
        <v>4500</v>
      </c>
      <c r="P53" s="216"/>
      <c r="Q53" s="215">
        <f>3500+850</f>
        <v>4350</v>
      </c>
      <c r="R53" s="216"/>
      <c r="S53" s="215">
        <v>5500</v>
      </c>
      <c r="T53" s="216"/>
      <c r="U53" s="215">
        <v>5500</v>
      </c>
      <c r="V53" s="216"/>
      <c r="W53" s="215">
        <v>5500</v>
      </c>
      <c r="X53" s="216"/>
      <c r="Y53" s="215">
        <v>3500</v>
      </c>
      <c r="Z53" s="216"/>
      <c r="AA53" s="215">
        <v>3500</v>
      </c>
      <c r="AB53" s="216"/>
      <c r="AC53" s="215">
        <v>3500</v>
      </c>
      <c r="AD53" s="216"/>
      <c r="AE53" s="215">
        <f t="shared" si="3"/>
        <v>50096</v>
      </c>
    </row>
    <row r="54" spans="1:33">
      <c r="A54" s="214"/>
      <c r="B54" s="214"/>
      <c r="C54" s="214"/>
      <c r="D54" s="214"/>
      <c r="E54" s="214"/>
      <c r="F54" s="214" t="s">
        <v>336</v>
      </c>
      <c r="G54" s="215">
        <v>1900</v>
      </c>
      <c r="H54" s="216"/>
      <c r="I54" s="215">
        <v>2730</v>
      </c>
      <c r="J54" s="216"/>
      <c r="K54" s="215">
        <v>1900</v>
      </c>
      <c r="L54" s="216"/>
      <c r="M54" s="215">
        <v>1900</v>
      </c>
      <c r="N54" s="216"/>
      <c r="O54" s="215">
        <v>1900</v>
      </c>
      <c r="P54" s="216"/>
      <c r="Q54" s="215">
        <v>1900</v>
      </c>
      <c r="R54" s="216"/>
      <c r="S54" s="215">
        <v>1900</v>
      </c>
      <c r="T54" s="216"/>
      <c r="U54" s="215">
        <v>1900</v>
      </c>
      <c r="V54" s="216"/>
      <c r="W54" s="215">
        <v>1900</v>
      </c>
      <c r="X54" s="216"/>
      <c r="Y54" s="215">
        <v>1900</v>
      </c>
      <c r="Z54" s="216"/>
      <c r="AA54" s="215">
        <v>1900</v>
      </c>
      <c r="AB54" s="216"/>
      <c r="AC54" s="215">
        <v>1900</v>
      </c>
      <c r="AD54" s="216"/>
      <c r="AE54" s="215">
        <f t="shared" si="3"/>
        <v>23630</v>
      </c>
      <c r="AG54" s="217" t="s">
        <v>359</v>
      </c>
    </row>
    <row r="55" spans="1:33">
      <c r="A55" s="214"/>
      <c r="B55" s="214"/>
      <c r="C55" s="214"/>
      <c r="D55" s="214"/>
      <c r="E55" s="214"/>
      <c r="F55" s="214" t="s">
        <v>276</v>
      </c>
      <c r="G55" s="215">
        <v>4000</v>
      </c>
      <c r="H55" s="216"/>
      <c r="I55" s="215">
        <v>12040</v>
      </c>
      <c r="J55" s="216"/>
      <c r="K55" s="215">
        <v>22431.75</v>
      </c>
      <c r="L55" s="216"/>
      <c r="M55" s="215">
        <v>4000</v>
      </c>
      <c r="N55" s="216"/>
      <c r="O55" s="215">
        <v>4000</v>
      </c>
      <c r="P55" s="216"/>
      <c r="Q55" s="215">
        <v>22431.75</v>
      </c>
      <c r="R55" s="216"/>
      <c r="S55" s="215">
        <v>4000</v>
      </c>
      <c r="T55" s="216"/>
      <c r="U55" s="215">
        <v>4000</v>
      </c>
      <c r="V55" s="216"/>
      <c r="W55" s="215">
        <v>22431.75</v>
      </c>
      <c r="X55" s="216"/>
      <c r="Y55" s="215">
        <v>4000</v>
      </c>
      <c r="Z55" s="216"/>
      <c r="AA55" s="215">
        <v>4000</v>
      </c>
      <c r="AB55" s="216"/>
      <c r="AC55" s="215">
        <v>22431.75</v>
      </c>
      <c r="AD55" s="216"/>
      <c r="AE55" s="215">
        <f t="shared" si="3"/>
        <v>129767</v>
      </c>
      <c r="AG55" s="217" t="s">
        <v>360</v>
      </c>
    </row>
    <row r="56" spans="1:33">
      <c r="A56" s="214"/>
      <c r="B56" s="214"/>
      <c r="C56" s="214"/>
      <c r="D56" s="214"/>
      <c r="E56" s="214"/>
      <c r="F56" s="214" t="s">
        <v>277</v>
      </c>
      <c r="G56" s="215">
        <v>4117.3100000000004</v>
      </c>
      <c r="H56" s="216"/>
      <c r="I56" s="215">
        <v>220.75</v>
      </c>
      <c r="J56" s="216"/>
      <c r="K56" s="215">
        <v>0</v>
      </c>
      <c r="L56" s="216"/>
      <c r="M56" s="215">
        <v>0</v>
      </c>
      <c r="N56" s="216"/>
      <c r="O56" s="215">
        <v>0</v>
      </c>
      <c r="P56" s="216"/>
      <c r="Q56" s="215">
        <v>0</v>
      </c>
      <c r="R56" s="216"/>
      <c r="S56" s="215">
        <v>0</v>
      </c>
      <c r="T56" s="216"/>
      <c r="U56" s="215">
        <v>0</v>
      </c>
      <c r="V56" s="216"/>
      <c r="W56" s="215">
        <v>0</v>
      </c>
      <c r="X56" s="216"/>
      <c r="Y56" s="215">
        <v>0</v>
      </c>
      <c r="Z56" s="216"/>
      <c r="AA56" s="215">
        <v>0</v>
      </c>
      <c r="AB56" s="216"/>
      <c r="AC56" s="215">
        <v>0</v>
      </c>
      <c r="AD56" s="216"/>
      <c r="AE56" s="215">
        <f t="shared" si="3"/>
        <v>4338.0600000000004</v>
      </c>
    </row>
    <row r="57" spans="1:33">
      <c r="A57" s="214"/>
      <c r="B57" s="214"/>
      <c r="C57" s="214"/>
      <c r="D57" s="214"/>
      <c r="E57" s="214"/>
      <c r="F57" s="214" t="s">
        <v>278</v>
      </c>
      <c r="G57" s="215">
        <v>0</v>
      </c>
      <c r="H57" s="216"/>
      <c r="I57" s="215">
        <v>432</v>
      </c>
      <c r="J57" s="216"/>
      <c r="K57" s="215">
        <v>0</v>
      </c>
      <c r="L57" s="216"/>
      <c r="M57" s="215">
        <v>0</v>
      </c>
      <c r="N57" s="216"/>
      <c r="O57" s="215">
        <v>0</v>
      </c>
      <c r="P57" s="216"/>
      <c r="Q57" s="215">
        <v>0</v>
      </c>
      <c r="R57" s="216"/>
      <c r="S57" s="215">
        <v>0</v>
      </c>
      <c r="T57" s="216"/>
      <c r="U57" s="215">
        <v>0</v>
      </c>
      <c r="V57" s="216"/>
      <c r="W57" s="215">
        <v>0</v>
      </c>
      <c r="X57" s="216"/>
      <c r="Y57" s="215">
        <v>0</v>
      </c>
      <c r="Z57" s="216"/>
      <c r="AA57" s="215">
        <v>0</v>
      </c>
      <c r="AB57" s="216"/>
      <c r="AC57" s="215">
        <v>0</v>
      </c>
      <c r="AD57" s="216"/>
      <c r="AE57" s="215">
        <f t="shared" si="3"/>
        <v>432</v>
      </c>
    </row>
    <row r="58" spans="1:33">
      <c r="A58" s="214"/>
      <c r="B58" s="214"/>
      <c r="C58" s="214"/>
      <c r="D58" s="214"/>
      <c r="E58" s="214"/>
      <c r="F58" s="214" t="s">
        <v>279</v>
      </c>
      <c r="G58" s="215">
        <v>2106.25</v>
      </c>
      <c r="H58" s="216"/>
      <c r="I58" s="215">
        <v>1662.5</v>
      </c>
      <c r="J58" s="216"/>
      <c r="K58" s="215">
        <v>1662.5</v>
      </c>
      <c r="L58" s="216"/>
      <c r="M58" s="215">
        <v>1662.5</v>
      </c>
      <c r="N58" s="216"/>
      <c r="O58" s="215">
        <v>1662.5</v>
      </c>
      <c r="P58" s="216"/>
      <c r="Q58" s="215">
        <v>1662.5</v>
      </c>
      <c r="R58" s="216"/>
      <c r="S58" s="215">
        <v>1662.5</v>
      </c>
      <c r="T58" s="216"/>
      <c r="U58" s="215">
        <v>1662.5</v>
      </c>
      <c r="V58" s="216"/>
      <c r="W58" s="215">
        <v>1662.5</v>
      </c>
      <c r="X58" s="216"/>
      <c r="Y58" s="215">
        <v>1662.5</v>
      </c>
      <c r="Z58" s="216"/>
      <c r="AA58" s="215">
        <v>1662.5</v>
      </c>
      <c r="AB58" s="216"/>
      <c r="AC58" s="215">
        <v>1662.5</v>
      </c>
      <c r="AD58" s="216"/>
      <c r="AE58" s="215">
        <f t="shared" si="3"/>
        <v>20393.75</v>
      </c>
      <c r="AG58" s="217" t="s">
        <v>361</v>
      </c>
    </row>
    <row r="59" spans="1:33">
      <c r="A59" s="214"/>
      <c r="B59" s="214"/>
      <c r="C59" s="214"/>
      <c r="D59" s="214"/>
      <c r="E59" s="214"/>
      <c r="F59" s="214" t="s">
        <v>280</v>
      </c>
      <c r="G59" s="215">
        <v>311.99</v>
      </c>
      <c r="H59" s="216"/>
      <c r="I59" s="215">
        <v>313.32</v>
      </c>
      <c r="J59" s="216"/>
      <c r="K59" s="215">
        <v>327.81</v>
      </c>
      <c r="L59" s="216"/>
      <c r="M59" s="215">
        <v>327.81</v>
      </c>
      <c r="N59" s="216"/>
      <c r="O59" s="215">
        <v>327.81</v>
      </c>
      <c r="P59" s="216"/>
      <c r="Q59" s="215">
        <v>327.81</v>
      </c>
      <c r="R59" s="216"/>
      <c r="S59" s="215">
        <v>327.81</v>
      </c>
      <c r="T59" s="216"/>
      <c r="U59" s="215">
        <v>327.81</v>
      </c>
      <c r="V59" s="216"/>
      <c r="W59" s="215">
        <v>327.81</v>
      </c>
      <c r="X59" s="216"/>
      <c r="Y59" s="215">
        <v>327.81</v>
      </c>
      <c r="Z59" s="216"/>
      <c r="AA59" s="215">
        <v>327.81</v>
      </c>
      <c r="AB59" s="216"/>
      <c r="AC59" s="215">
        <v>327.81</v>
      </c>
      <c r="AD59" s="216"/>
      <c r="AE59" s="215">
        <f t="shared" si="3"/>
        <v>3903.41</v>
      </c>
    </row>
    <row r="60" spans="1:33">
      <c r="A60" s="214"/>
      <c r="B60" s="214"/>
      <c r="C60" s="214"/>
      <c r="D60" s="214"/>
      <c r="E60" s="214"/>
      <c r="F60" s="214" t="s">
        <v>281</v>
      </c>
      <c r="G60" s="215">
        <v>7610.2</v>
      </c>
      <c r="H60" s="216"/>
      <c r="I60" s="215">
        <v>3240.24</v>
      </c>
      <c r="J60" s="216"/>
      <c r="K60" s="215">
        <v>460.2</v>
      </c>
      <c r="L60" s="216"/>
      <c r="M60" s="215">
        <v>460.2</v>
      </c>
      <c r="N60" s="216"/>
      <c r="O60" s="215">
        <v>460.2</v>
      </c>
      <c r="P60" s="216"/>
      <c r="Q60" s="215">
        <v>460.2</v>
      </c>
      <c r="R60" s="216"/>
      <c r="S60" s="215">
        <v>460.2</v>
      </c>
      <c r="T60" s="216"/>
      <c r="U60" s="215">
        <v>460.2</v>
      </c>
      <c r="V60" s="216"/>
      <c r="W60" s="215">
        <v>460.2</v>
      </c>
      <c r="X60" s="216"/>
      <c r="Y60" s="215">
        <v>460.2</v>
      </c>
      <c r="Z60" s="216"/>
      <c r="AA60" s="215">
        <v>460.2</v>
      </c>
      <c r="AB60" s="216"/>
      <c r="AC60" s="215">
        <v>460.2</v>
      </c>
      <c r="AD60" s="216"/>
      <c r="AE60" s="215">
        <f t="shared" si="3"/>
        <v>15452.44</v>
      </c>
    </row>
    <row r="61" spans="1:33">
      <c r="A61" s="214"/>
      <c r="B61" s="214"/>
      <c r="C61" s="214"/>
      <c r="D61" s="214"/>
      <c r="E61" s="214"/>
      <c r="F61" s="214" t="s">
        <v>284</v>
      </c>
      <c r="G61" s="215">
        <v>13368.13</v>
      </c>
      <c r="H61" s="216"/>
      <c r="I61" s="215">
        <v>12884.13</v>
      </c>
      <c r="J61" s="216"/>
      <c r="K61" s="215">
        <v>12400.13</v>
      </c>
      <c r="L61" s="216"/>
      <c r="M61" s="215">
        <v>12400.13</v>
      </c>
      <c r="N61" s="216"/>
      <c r="O61" s="215">
        <v>12400.13</v>
      </c>
      <c r="P61" s="216"/>
      <c r="Q61" s="215">
        <v>12400.13</v>
      </c>
      <c r="R61" s="216"/>
      <c r="S61" s="215">
        <v>12400.13</v>
      </c>
      <c r="T61" s="216"/>
      <c r="U61" s="215">
        <v>12400.13</v>
      </c>
      <c r="V61" s="216"/>
      <c r="W61" s="215">
        <v>12400.13</v>
      </c>
      <c r="X61" s="216"/>
      <c r="Y61" s="215">
        <v>12400.13</v>
      </c>
      <c r="Z61" s="216"/>
      <c r="AA61" s="215">
        <v>12400.13</v>
      </c>
      <c r="AB61" s="216"/>
      <c r="AC61" s="215">
        <v>12400.13</v>
      </c>
      <c r="AD61" s="216"/>
      <c r="AE61" s="215">
        <f t="shared" si="3"/>
        <v>150253.56</v>
      </c>
    </row>
    <row r="62" spans="1:33">
      <c r="A62" s="214"/>
      <c r="B62" s="214"/>
      <c r="C62" s="214"/>
      <c r="D62" s="214"/>
      <c r="E62" s="214"/>
      <c r="F62" s="214" t="s">
        <v>285</v>
      </c>
      <c r="G62" s="215">
        <v>39.950000000000003</v>
      </c>
      <c r="H62" s="216"/>
      <c r="I62" s="215">
        <v>1963.95</v>
      </c>
      <c r="J62" s="216"/>
      <c r="K62" s="215">
        <v>2288.9</v>
      </c>
      <c r="L62" s="216"/>
      <c r="M62" s="215">
        <v>2288.9</v>
      </c>
      <c r="N62" s="216"/>
      <c r="O62" s="215">
        <v>2288.9</v>
      </c>
      <c r="P62" s="216"/>
      <c r="Q62" s="215">
        <v>2288.9</v>
      </c>
      <c r="R62" s="216"/>
      <c r="S62" s="215">
        <v>2288.9</v>
      </c>
      <c r="T62" s="216"/>
      <c r="U62" s="215">
        <v>2288.9</v>
      </c>
      <c r="V62" s="216"/>
      <c r="W62" s="215">
        <v>2288.9</v>
      </c>
      <c r="X62" s="216"/>
      <c r="Y62" s="215">
        <v>2288.9</v>
      </c>
      <c r="Z62" s="216"/>
      <c r="AA62" s="215">
        <v>2288.9</v>
      </c>
      <c r="AB62" s="216"/>
      <c r="AC62" s="215">
        <v>2288.9</v>
      </c>
      <c r="AD62" s="216"/>
      <c r="AE62" s="215">
        <f t="shared" si="3"/>
        <v>24892.9</v>
      </c>
    </row>
    <row r="63" spans="1:33">
      <c r="A63" s="214"/>
      <c r="B63" s="214"/>
      <c r="C63" s="214"/>
      <c r="D63" s="214"/>
      <c r="E63" s="214"/>
      <c r="F63" s="214" t="s">
        <v>287</v>
      </c>
      <c r="G63" s="215">
        <v>1181.52</v>
      </c>
      <c r="H63" s="216"/>
      <c r="I63" s="215">
        <v>1181.52</v>
      </c>
      <c r="J63" s="216"/>
      <c r="K63" s="215">
        <v>1181.52</v>
      </c>
      <c r="L63" s="216"/>
      <c r="M63" s="215">
        <v>1181.52</v>
      </c>
      <c r="N63" s="216"/>
      <c r="O63" s="215">
        <v>1181.52</v>
      </c>
      <c r="P63" s="216"/>
      <c r="Q63" s="215">
        <v>1181.52</v>
      </c>
      <c r="R63" s="216"/>
      <c r="S63" s="215">
        <v>1181.52</v>
      </c>
      <c r="T63" s="216"/>
      <c r="U63" s="215">
        <v>1181.52</v>
      </c>
      <c r="V63" s="216"/>
      <c r="W63" s="215">
        <v>1181.52</v>
      </c>
      <c r="X63" s="216"/>
      <c r="Y63" s="215">
        <v>1181.52</v>
      </c>
      <c r="Z63" s="216"/>
      <c r="AA63" s="215">
        <v>1181.52</v>
      </c>
      <c r="AB63" s="216"/>
      <c r="AC63" s="215">
        <v>1181.52</v>
      </c>
      <c r="AD63" s="216"/>
      <c r="AE63" s="215">
        <f t="shared" si="3"/>
        <v>14178.24</v>
      </c>
    </row>
    <row r="64" spans="1:33">
      <c r="A64" s="214"/>
      <c r="B64" s="214"/>
      <c r="C64" s="214"/>
      <c r="D64" s="214"/>
      <c r="E64" s="214"/>
      <c r="F64" s="214" t="s">
        <v>340</v>
      </c>
      <c r="G64" s="215">
        <v>0</v>
      </c>
      <c r="H64" s="216"/>
      <c r="I64" s="215">
        <v>85.31</v>
      </c>
      <c r="J64" s="216"/>
      <c r="K64" s="215">
        <v>35.54</v>
      </c>
      <c r="L64" s="216"/>
      <c r="M64" s="215">
        <v>35.54</v>
      </c>
      <c r="N64" s="216"/>
      <c r="O64" s="215">
        <v>35.54</v>
      </c>
      <c r="P64" s="216"/>
      <c r="Q64" s="215">
        <v>35.54</v>
      </c>
      <c r="R64" s="216"/>
      <c r="S64" s="215">
        <v>35.54</v>
      </c>
      <c r="T64" s="216"/>
      <c r="U64" s="215">
        <v>35.54</v>
      </c>
      <c r="V64" s="216"/>
      <c r="W64" s="215">
        <v>35.54</v>
      </c>
      <c r="X64" s="216"/>
      <c r="Y64" s="215">
        <v>35.54</v>
      </c>
      <c r="Z64" s="216"/>
      <c r="AA64" s="215">
        <v>35.54</v>
      </c>
      <c r="AB64" s="216"/>
      <c r="AC64" s="215">
        <v>35.54</v>
      </c>
      <c r="AD64" s="216"/>
      <c r="AE64" s="215">
        <f t="shared" si="3"/>
        <v>440.71</v>
      </c>
    </row>
    <row r="65" spans="1:31">
      <c r="A65" s="214"/>
      <c r="B65" s="214"/>
      <c r="C65" s="214"/>
      <c r="D65" s="214"/>
      <c r="E65" s="214"/>
      <c r="F65" s="214" t="s">
        <v>341</v>
      </c>
      <c r="G65" s="215">
        <v>34.56</v>
      </c>
      <c r="H65" s="216"/>
      <c r="I65" s="215">
        <v>0</v>
      </c>
      <c r="J65" s="216"/>
      <c r="K65" s="215">
        <v>35.54</v>
      </c>
      <c r="L65" s="216"/>
      <c r="M65" s="215">
        <v>0</v>
      </c>
      <c r="N65" s="216"/>
      <c r="O65" s="215">
        <v>35.54</v>
      </c>
      <c r="P65" s="216"/>
      <c r="Q65" s="215">
        <v>0</v>
      </c>
      <c r="R65" s="216"/>
      <c r="S65" s="215">
        <v>0</v>
      </c>
      <c r="T65" s="216"/>
      <c r="U65" s="215">
        <v>35.54</v>
      </c>
      <c r="V65" s="216"/>
      <c r="W65" s="215">
        <v>0</v>
      </c>
      <c r="X65" s="216"/>
      <c r="Y65" s="215">
        <v>35.54</v>
      </c>
      <c r="Z65" s="216"/>
      <c r="AA65" s="215">
        <v>0</v>
      </c>
      <c r="AB65" s="216"/>
      <c r="AC65" s="215">
        <v>0</v>
      </c>
      <c r="AD65" s="216"/>
      <c r="AE65" s="215">
        <f t="shared" si="3"/>
        <v>176.72</v>
      </c>
    </row>
    <row r="66" spans="1:31">
      <c r="A66" s="214"/>
      <c r="B66" s="214"/>
      <c r="C66" s="214"/>
      <c r="D66" s="214"/>
      <c r="E66" s="214"/>
      <c r="F66" s="214" t="s">
        <v>289</v>
      </c>
      <c r="G66" s="215">
        <v>5711.29</v>
      </c>
      <c r="H66" s="216"/>
      <c r="I66" s="215">
        <v>2846.33</v>
      </c>
      <c r="J66" s="216"/>
      <c r="K66" s="215">
        <v>0</v>
      </c>
      <c r="L66" s="216"/>
      <c r="M66" s="215">
        <v>0</v>
      </c>
      <c r="N66" s="216"/>
      <c r="O66" s="215">
        <v>0</v>
      </c>
      <c r="P66" s="216"/>
      <c r="Q66" s="215">
        <v>0</v>
      </c>
      <c r="R66" s="216"/>
      <c r="S66" s="215">
        <v>0</v>
      </c>
      <c r="T66" s="216"/>
      <c r="U66" s="215">
        <v>5000</v>
      </c>
      <c r="V66" s="216"/>
      <c r="W66" s="215">
        <v>5000</v>
      </c>
      <c r="X66" s="216"/>
      <c r="Y66" s="215">
        <v>0</v>
      </c>
      <c r="Z66" s="216"/>
      <c r="AA66" s="215">
        <v>0</v>
      </c>
      <c r="AB66" s="216"/>
      <c r="AC66" s="215">
        <v>5000</v>
      </c>
      <c r="AD66" s="216"/>
      <c r="AE66" s="215">
        <f t="shared" si="3"/>
        <v>23557.62</v>
      </c>
    </row>
    <row r="67" spans="1:31">
      <c r="A67" s="214"/>
      <c r="B67" s="214"/>
      <c r="C67" s="214"/>
      <c r="D67" s="214"/>
      <c r="E67" s="214"/>
      <c r="F67" s="214" t="s">
        <v>290</v>
      </c>
      <c r="G67" s="215">
        <v>99.99</v>
      </c>
      <c r="H67" s="216"/>
      <c r="I67" s="215">
        <v>99.99</v>
      </c>
      <c r="J67" s="216"/>
      <c r="K67" s="215">
        <v>108.94</v>
      </c>
      <c r="L67" s="216"/>
      <c r="M67" s="215">
        <v>99.99</v>
      </c>
      <c r="N67" s="216"/>
      <c r="O67" s="215">
        <v>99.99</v>
      </c>
      <c r="P67" s="216"/>
      <c r="Q67" s="215">
        <v>99.99</v>
      </c>
      <c r="R67" s="216"/>
      <c r="S67" s="215">
        <v>99.99</v>
      </c>
      <c r="T67" s="216"/>
      <c r="U67" s="215">
        <v>99.99</v>
      </c>
      <c r="V67" s="216"/>
      <c r="W67" s="215">
        <v>99.99</v>
      </c>
      <c r="X67" s="216"/>
      <c r="Y67" s="215">
        <v>99.99</v>
      </c>
      <c r="Z67" s="216"/>
      <c r="AA67" s="215">
        <v>99.99</v>
      </c>
      <c r="AB67" s="216"/>
      <c r="AC67" s="215">
        <v>99.99</v>
      </c>
      <c r="AD67" s="215"/>
      <c r="AE67" s="215">
        <f t="shared" si="3"/>
        <v>1208.83</v>
      </c>
    </row>
    <row r="68" spans="1:31">
      <c r="A68" s="214"/>
      <c r="B68" s="214"/>
      <c r="C68" s="214"/>
      <c r="D68" s="214"/>
      <c r="E68" s="214"/>
      <c r="F68" s="214" t="s">
        <v>291</v>
      </c>
      <c r="G68" s="215">
        <v>2578.77</v>
      </c>
      <c r="H68" s="216"/>
      <c r="I68" s="215">
        <v>2287.16</v>
      </c>
      <c r="J68" s="216"/>
      <c r="K68" s="215">
        <v>2578.77</v>
      </c>
      <c r="L68" s="216"/>
      <c r="M68" s="215">
        <v>2578.77</v>
      </c>
      <c r="N68" s="216"/>
      <c r="O68" s="215">
        <v>2578.77</v>
      </c>
      <c r="P68" s="216"/>
      <c r="Q68" s="215">
        <v>2578.77</v>
      </c>
      <c r="R68" s="216"/>
      <c r="S68" s="215">
        <v>2578.77</v>
      </c>
      <c r="T68" s="216"/>
      <c r="U68" s="215">
        <v>2578.77</v>
      </c>
      <c r="V68" s="216"/>
      <c r="W68" s="215">
        <v>2578.77</v>
      </c>
      <c r="X68" s="216"/>
      <c r="Y68" s="215">
        <v>2578.77</v>
      </c>
      <c r="Z68" s="216"/>
      <c r="AA68" s="215">
        <v>2578.77</v>
      </c>
      <c r="AB68" s="216"/>
      <c r="AC68" s="215">
        <v>2578.77</v>
      </c>
      <c r="AD68" s="216"/>
      <c r="AE68" s="215">
        <f t="shared" si="3"/>
        <v>30653.63</v>
      </c>
    </row>
    <row r="69" spans="1:31">
      <c r="A69" s="214"/>
      <c r="B69" s="214"/>
      <c r="C69" s="214"/>
      <c r="D69" s="214"/>
      <c r="E69" s="214"/>
      <c r="F69" s="214" t="s">
        <v>292</v>
      </c>
      <c r="G69" s="215">
        <v>411.36</v>
      </c>
      <c r="H69" s="216"/>
      <c r="I69" s="215">
        <v>411.36</v>
      </c>
      <c r="J69" s="216"/>
      <c r="K69" s="215">
        <v>411.36</v>
      </c>
      <c r="L69" s="216"/>
      <c r="M69" s="215">
        <v>411.36</v>
      </c>
      <c r="N69" s="216"/>
      <c r="O69" s="215">
        <v>411.36</v>
      </c>
      <c r="P69" s="216"/>
      <c r="Q69" s="215">
        <v>411.36</v>
      </c>
      <c r="R69" s="216"/>
      <c r="S69" s="215">
        <v>411.36</v>
      </c>
      <c r="T69" s="216"/>
      <c r="U69" s="215">
        <v>411.36</v>
      </c>
      <c r="V69" s="216"/>
      <c r="W69" s="215">
        <v>411.36</v>
      </c>
      <c r="X69" s="216"/>
      <c r="Y69" s="215">
        <v>411.36</v>
      </c>
      <c r="Z69" s="216"/>
      <c r="AA69" s="215">
        <v>411.36</v>
      </c>
      <c r="AB69" s="216"/>
      <c r="AC69" s="215">
        <v>411.36</v>
      </c>
      <c r="AD69" s="216"/>
      <c r="AE69" s="215">
        <f t="shared" si="3"/>
        <v>4936.32</v>
      </c>
    </row>
    <row r="70" spans="1:31">
      <c r="A70" s="214"/>
      <c r="B70" s="214"/>
      <c r="C70" s="214"/>
      <c r="D70" s="214"/>
      <c r="E70" s="214"/>
      <c r="F70" s="214" t="s">
        <v>362</v>
      </c>
      <c r="G70" s="215"/>
      <c r="H70" s="216"/>
      <c r="I70" s="215"/>
      <c r="J70" s="216"/>
      <c r="K70" s="215"/>
      <c r="L70" s="216"/>
      <c r="M70" s="215"/>
      <c r="N70" s="216"/>
      <c r="O70" s="215"/>
      <c r="P70" s="216"/>
      <c r="Q70" s="215">
        <v>33000</v>
      </c>
      <c r="R70" s="216"/>
      <c r="S70" s="215"/>
      <c r="T70" s="216"/>
      <c r="U70" s="215"/>
      <c r="V70" s="216"/>
      <c r="W70" s="215"/>
      <c r="X70" s="216"/>
      <c r="Y70" s="215"/>
      <c r="Z70" s="216"/>
      <c r="AA70" s="215"/>
      <c r="AB70" s="216"/>
      <c r="AC70" s="215"/>
      <c r="AD70" s="216"/>
      <c r="AE70" s="215">
        <f t="shared" si="3"/>
        <v>33000</v>
      </c>
    </row>
    <row r="71" spans="1:31">
      <c r="A71" s="214"/>
      <c r="B71" s="214"/>
      <c r="C71" s="214"/>
      <c r="D71" s="214"/>
      <c r="E71" s="214"/>
      <c r="F71" s="214" t="s">
        <v>363</v>
      </c>
      <c r="G71" s="215">
        <v>9000</v>
      </c>
      <c r="H71" s="216"/>
      <c r="I71" s="215">
        <v>8623.15</v>
      </c>
      <c r="J71" s="216"/>
      <c r="K71" s="215">
        <f>11820+2500</f>
        <v>14320</v>
      </c>
      <c r="L71" s="216"/>
      <c r="M71" s="215">
        <f>11820+2500</f>
        <v>14320</v>
      </c>
      <c r="N71" s="216"/>
      <c r="O71" s="215">
        <f>11820+2500</f>
        <v>14320</v>
      </c>
      <c r="P71" s="216"/>
      <c r="Q71" s="215">
        <f>11820+2500</f>
        <v>14320</v>
      </c>
      <c r="R71" s="216"/>
      <c r="S71" s="215">
        <f>11820+2500</f>
        <v>14320</v>
      </c>
      <c r="T71" s="216"/>
      <c r="U71" s="215">
        <f>11820+2500</f>
        <v>14320</v>
      </c>
      <c r="V71" s="216"/>
      <c r="W71" s="215">
        <f>11820+2500</f>
        <v>14320</v>
      </c>
      <c r="X71" s="216"/>
      <c r="Y71" s="215">
        <f>11820+2500</f>
        <v>14320</v>
      </c>
      <c r="Z71" s="216"/>
      <c r="AA71" s="215">
        <f>11820+2500</f>
        <v>14320</v>
      </c>
      <c r="AB71" s="216"/>
      <c r="AC71" s="215">
        <v>0</v>
      </c>
      <c r="AD71" s="216"/>
      <c r="AE71" s="215">
        <f t="shared" si="3"/>
        <v>146503.15</v>
      </c>
    </row>
    <row r="72" spans="1:31" ht="16.149999999999999" thickBot="1">
      <c r="A72" s="214"/>
      <c r="B72" s="214"/>
      <c r="C72" s="214"/>
      <c r="D72" s="214"/>
      <c r="E72" s="214"/>
      <c r="F72" s="214" t="s">
        <v>295</v>
      </c>
      <c r="G72" s="218">
        <v>4800</v>
      </c>
      <c r="H72" s="216"/>
      <c r="I72" s="218">
        <v>1800</v>
      </c>
      <c r="J72" s="216"/>
      <c r="K72" s="218">
        <f>1800*4</f>
        <v>7200</v>
      </c>
      <c r="L72" s="216"/>
      <c r="M72" s="218">
        <f>500*22</f>
        <v>11000</v>
      </c>
      <c r="N72" s="216"/>
      <c r="O72" s="218">
        <f>500*22</f>
        <v>11000</v>
      </c>
      <c r="P72" s="216"/>
      <c r="Q72" s="218">
        <f>500*22</f>
        <v>11000</v>
      </c>
      <c r="R72" s="216"/>
      <c r="S72" s="218">
        <f>500*22</f>
        <v>11000</v>
      </c>
      <c r="T72" s="216"/>
      <c r="U72" s="218">
        <f>500*22</f>
        <v>11000</v>
      </c>
      <c r="V72" s="216"/>
      <c r="W72" s="218">
        <f>500*22</f>
        <v>11000</v>
      </c>
      <c r="X72" s="216"/>
      <c r="Y72" s="218">
        <f>500*22</f>
        <v>11000</v>
      </c>
      <c r="Z72" s="216"/>
      <c r="AA72" s="218">
        <f>500*22</f>
        <v>11000</v>
      </c>
      <c r="AB72" s="216"/>
      <c r="AC72" s="218">
        <v>0</v>
      </c>
      <c r="AD72" s="216"/>
      <c r="AE72" s="218">
        <f t="shared" si="3"/>
        <v>101800</v>
      </c>
    </row>
    <row r="73" spans="1:31">
      <c r="A73" s="214"/>
      <c r="B73" s="214"/>
      <c r="C73" s="214"/>
      <c r="D73" s="214"/>
      <c r="E73" s="214" t="s">
        <v>296</v>
      </c>
      <c r="F73" s="214"/>
      <c r="G73" s="215">
        <f>ROUND(SUM(G45:G72),5)</f>
        <v>87942.35</v>
      </c>
      <c r="H73" s="216"/>
      <c r="I73" s="215">
        <f>ROUND(SUM(I45:I72),5)</f>
        <v>79644.87</v>
      </c>
      <c r="J73" s="216"/>
      <c r="K73" s="215">
        <f>ROUND(SUM(K45:K72),5)</f>
        <v>90284.479999999996</v>
      </c>
      <c r="L73" s="216"/>
      <c r="M73" s="215">
        <f>ROUND(SUM(M45:M72),5)</f>
        <v>77459.107999999993</v>
      </c>
      <c r="N73" s="216"/>
      <c r="O73" s="215">
        <f>ROUND(SUM(O45:O72),5)</f>
        <v>76787.575500000006</v>
      </c>
      <c r="P73" s="216"/>
      <c r="Q73" s="215">
        <f>ROUND(SUM(Q45:Q72),5)</f>
        <v>130033.7855</v>
      </c>
      <c r="R73" s="216"/>
      <c r="S73" s="215">
        <f>ROUND(SUM(S45:S72),5)</f>
        <v>77901.482900000003</v>
      </c>
      <c r="T73" s="216"/>
      <c r="U73" s="215">
        <f>ROUND(SUM(U45:U72),5)</f>
        <v>84787.575500000006</v>
      </c>
      <c r="V73" s="216"/>
      <c r="W73" s="215">
        <f>ROUND(SUM(W45:W72),5)</f>
        <v>101183.7855</v>
      </c>
      <c r="X73" s="216"/>
      <c r="Y73" s="215">
        <f>ROUND(SUM(Y45:Y72),5)</f>
        <v>77787.575500000006</v>
      </c>
      <c r="Z73" s="216"/>
      <c r="AA73" s="215">
        <f>ROUND(SUM(AA45:AA72),5)</f>
        <v>77752.035499999998</v>
      </c>
      <c r="AB73" s="216"/>
      <c r="AC73" s="215">
        <f>ROUND(SUM(AC45:AC72),5)</f>
        <v>73863.785499999998</v>
      </c>
      <c r="AD73" s="216"/>
      <c r="AE73" s="215">
        <f t="shared" si="3"/>
        <v>1035428.4094</v>
      </c>
    </row>
    <row r="74" spans="1:31">
      <c r="A74" s="214"/>
      <c r="B74" s="214"/>
      <c r="C74" s="214"/>
      <c r="D74" s="214"/>
      <c r="E74" s="214" t="s">
        <v>297</v>
      </c>
      <c r="F74" s="214"/>
      <c r="G74" s="215"/>
      <c r="H74" s="216"/>
      <c r="I74" s="215"/>
      <c r="J74" s="216"/>
      <c r="K74" s="215"/>
      <c r="L74" s="216"/>
      <c r="M74" s="215"/>
      <c r="N74" s="216"/>
      <c r="O74" s="215"/>
      <c r="P74" s="216"/>
      <c r="Q74" s="215"/>
      <c r="R74" s="216"/>
      <c r="S74" s="215"/>
      <c r="T74" s="216"/>
      <c r="U74" s="215"/>
      <c r="V74" s="216"/>
      <c r="W74" s="215"/>
      <c r="X74" s="216"/>
      <c r="Y74" s="215"/>
      <c r="Z74" s="216"/>
      <c r="AA74" s="215"/>
      <c r="AB74" s="216"/>
      <c r="AC74" s="215"/>
      <c r="AD74" s="216"/>
      <c r="AE74" s="215"/>
    </row>
    <row r="75" spans="1:31">
      <c r="A75" s="214"/>
      <c r="B75" s="214"/>
      <c r="C75" s="214"/>
      <c r="D75" s="214"/>
      <c r="E75" s="214"/>
      <c r="F75" s="214" t="s">
        <v>298</v>
      </c>
      <c r="G75" s="215">
        <v>8517.74</v>
      </c>
      <c r="H75" s="216"/>
      <c r="I75" s="215">
        <v>25431.31</v>
      </c>
      <c r="J75" s="216"/>
      <c r="K75" s="215">
        <v>150</v>
      </c>
      <c r="L75" s="216"/>
      <c r="M75" s="215">
        <v>150</v>
      </c>
      <c r="N75" s="216"/>
      <c r="O75" s="215">
        <v>150</v>
      </c>
      <c r="P75" s="216"/>
      <c r="Q75" s="215">
        <v>150</v>
      </c>
      <c r="R75" s="216"/>
      <c r="S75" s="215">
        <v>1500</v>
      </c>
      <c r="T75" s="216"/>
      <c r="U75" s="215">
        <v>150</v>
      </c>
      <c r="V75" s="216"/>
      <c r="W75" s="215">
        <v>150</v>
      </c>
      <c r="X75" s="216"/>
      <c r="Y75" s="215">
        <v>1500</v>
      </c>
      <c r="Z75" s="216"/>
      <c r="AA75" s="215">
        <v>0</v>
      </c>
      <c r="AB75" s="216"/>
      <c r="AC75" s="215">
        <v>0</v>
      </c>
      <c r="AD75" s="216"/>
      <c r="AE75" s="215">
        <f t="shared" ref="AE75:AE82" si="4">ROUND(SUM(G75:AC75),5)</f>
        <v>37849.050000000003</v>
      </c>
    </row>
    <row r="76" spans="1:31">
      <c r="A76" s="214"/>
      <c r="B76" s="214"/>
      <c r="C76" s="214"/>
      <c r="D76" s="214"/>
      <c r="E76" s="214"/>
      <c r="F76" s="214" t="s">
        <v>299</v>
      </c>
      <c r="G76" s="215">
        <v>1535.8</v>
      </c>
      <c r="H76" s="216"/>
      <c r="I76" s="215">
        <v>8575.34</v>
      </c>
      <c r="J76" s="216"/>
      <c r="K76" s="215">
        <v>8</v>
      </c>
      <c r="L76" s="216"/>
      <c r="M76" s="215">
        <v>500</v>
      </c>
      <c r="N76" s="216"/>
      <c r="O76" s="215">
        <v>0</v>
      </c>
      <c r="P76" s="216"/>
      <c r="Q76" s="215">
        <v>500</v>
      </c>
      <c r="R76" s="216"/>
      <c r="S76" s="215">
        <v>0</v>
      </c>
      <c r="T76" s="216"/>
      <c r="U76" s="215">
        <v>500</v>
      </c>
      <c r="V76" s="216"/>
      <c r="W76" s="215">
        <v>0</v>
      </c>
      <c r="X76" s="216"/>
      <c r="Y76" s="215">
        <v>500</v>
      </c>
      <c r="Z76" s="216"/>
      <c r="AA76" s="215">
        <v>0</v>
      </c>
      <c r="AB76" s="216"/>
      <c r="AC76" s="215">
        <v>0</v>
      </c>
      <c r="AD76" s="216"/>
      <c r="AE76" s="215">
        <f t="shared" si="4"/>
        <v>12119.14</v>
      </c>
    </row>
    <row r="77" spans="1:31">
      <c r="A77" s="214"/>
      <c r="B77" s="214"/>
      <c r="C77" s="214"/>
      <c r="D77" s="214"/>
      <c r="E77" s="214"/>
      <c r="F77" s="214" t="s">
        <v>300</v>
      </c>
      <c r="G77" s="215">
        <v>362.66</v>
      </c>
      <c r="H77" s="216"/>
      <c r="I77" s="215">
        <v>499.53</v>
      </c>
      <c r="J77" s="216"/>
      <c r="K77" s="215">
        <v>200</v>
      </c>
      <c r="L77" s="216"/>
      <c r="M77" s="215">
        <v>200</v>
      </c>
      <c r="N77" s="216"/>
      <c r="O77" s="215">
        <v>200</v>
      </c>
      <c r="P77" s="216"/>
      <c r="Q77" s="215">
        <v>200</v>
      </c>
      <c r="R77" s="216"/>
      <c r="S77" s="215">
        <v>200</v>
      </c>
      <c r="T77" s="216"/>
      <c r="U77" s="215">
        <v>200</v>
      </c>
      <c r="V77" s="216"/>
      <c r="W77" s="215">
        <v>200</v>
      </c>
      <c r="X77" s="216"/>
      <c r="Y77" s="215">
        <v>0</v>
      </c>
      <c r="Z77" s="216"/>
      <c r="AA77" s="215">
        <v>0</v>
      </c>
      <c r="AB77" s="216"/>
      <c r="AC77" s="215">
        <v>0</v>
      </c>
      <c r="AD77" s="216"/>
      <c r="AE77" s="215">
        <f t="shared" si="4"/>
        <v>2262.19</v>
      </c>
    </row>
    <row r="78" spans="1:31">
      <c r="A78" s="214"/>
      <c r="B78" s="214"/>
      <c r="C78" s="214"/>
      <c r="D78" s="214"/>
      <c r="E78" s="214"/>
      <c r="F78" s="214" t="s">
        <v>364</v>
      </c>
      <c r="G78" s="215">
        <v>158.13999999999999</v>
      </c>
      <c r="H78" s="216"/>
      <c r="I78" s="215">
        <v>0</v>
      </c>
      <c r="J78" s="216"/>
      <c r="K78" s="215">
        <v>0</v>
      </c>
      <c r="L78" s="216"/>
      <c r="M78" s="215">
        <v>0</v>
      </c>
      <c r="N78" s="216"/>
      <c r="O78" s="215">
        <v>0</v>
      </c>
      <c r="P78" s="216"/>
      <c r="Q78" s="215">
        <v>0</v>
      </c>
      <c r="R78" s="216"/>
      <c r="S78" s="215">
        <v>0</v>
      </c>
      <c r="T78" s="216"/>
      <c r="U78" s="215">
        <v>0</v>
      </c>
      <c r="V78" s="216"/>
      <c r="W78" s="215">
        <v>0</v>
      </c>
      <c r="X78" s="216"/>
      <c r="Y78" s="215">
        <v>0</v>
      </c>
      <c r="Z78" s="216"/>
      <c r="AA78" s="215">
        <v>0</v>
      </c>
      <c r="AB78" s="216"/>
      <c r="AC78" s="215">
        <v>0</v>
      </c>
      <c r="AD78" s="216"/>
      <c r="AE78" s="215">
        <f t="shared" si="4"/>
        <v>158.13999999999999</v>
      </c>
    </row>
    <row r="79" spans="1:31">
      <c r="A79" s="214"/>
      <c r="B79" s="214"/>
      <c r="C79" s="214"/>
      <c r="D79" s="214"/>
      <c r="E79" s="214"/>
      <c r="F79" s="214" t="s">
        <v>301</v>
      </c>
      <c r="G79" s="215">
        <v>0</v>
      </c>
      <c r="H79" s="216"/>
      <c r="I79" s="215">
        <v>252.52</v>
      </c>
      <c r="J79" s="216"/>
      <c r="K79" s="215">
        <v>0</v>
      </c>
      <c r="L79" s="216"/>
      <c r="M79" s="215">
        <v>150</v>
      </c>
      <c r="N79" s="216"/>
      <c r="O79" s="215">
        <v>0</v>
      </c>
      <c r="P79" s="216"/>
      <c r="Q79" s="215">
        <v>300</v>
      </c>
      <c r="R79" s="216"/>
      <c r="S79" s="215">
        <v>0</v>
      </c>
      <c r="T79" s="216"/>
      <c r="U79" s="215">
        <v>300</v>
      </c>
      <c r="V79" s="216"/>
      <c r="W79" s="215">
        <v>0</v>
      </c>
      <c r="X79" s="216"/>
      <c r="Y79" s="215">
        <v>0</v>
      </c>
      <c r="Z79" s="216"/>
      <c r="AA79" s="215">
        <v>0</v>
      </c>
      <c r="AB79" s="216"/>
      <c r="AC79" s="215">
        <v>0</v>
      </c>
      <c r="AD79" s="216"/>
      <c r="AE79" s="215">
        <f t="shared" si="4"/>
        <v>1002.52</v>
      </c>
    </row>
    <row r="80" spans="1:31">
      <c r="A80" s="214"/>
      <c r="B80" s="214"/>
      <c r="C80" s="214"/>
      <c r="D80" s="214"/>
      <c r="E80" s="214"/>
      <c r="F80" s="214" t="s">
        <v>302</v>
      </c>
      <c r="G80" s="215">
        <v>0</v>
      </c>
      <c r="H80" s="216"/>
      <c r="I80" s="215">
        <v>-55</v>
      </c>
      <c r="J80" s="216"/>
      <c r="K80" s="215">
        <v>0</v>
      </c>
      <c r="L80" s="216"/>
      <c r="M80" s="215">
        <v>0</v>
      </c>
      <c r="N80" s="216"/>
      <c r="O80" s="215">
        <v>3000</v>
      </c>
      <c r="P80" s="216"/>
      <c r="Q80" s="215">
        <v>0</v>
      </c>
      <c r="R80" s="216"/>
      <c r="S80" s="215">
        <v>0</v>
      </c>
      <c r="T80" s="216"/>
      <c r="U80" s="215">
        <v>0</v>
      </c>
      <c r="V80" s="216"/>
      <c r="W80" s="215">
        <v>0</v>
      </c>
      <c r="X80" s="216"/>
      <c r="Y80" s="215">
        <v>0</v>
      </c>
      <c r="Z80" s="216"/>
      <c r="AA80" s="215">
        <v>0</v>
      </c>
      <c r="AB80" s="216"/>
      <c r="AC80" s="215">
        <v>0</v>
      </c>
      <c r="AD80" s="216"/>
      <c r="AE80" s="215">
        <f t="shared" si="4"/>
        <v>2945</v>
      </c>
    </row>
    <row r="81" spans="1:31" ht="16.149999999999999" thickBot="1">
      <c r="A81" s="214"/>
      <c r="B81" s="214"/>
      <c r="C81" s="214"/>
      <c r="D81" s="214"/>
      <c r="E81" s="214"/>
      <c r="F81" s="214" t="s">
        <v>365</v>
      </c>
      <c r="G81" s="218">
        <v>2091.04</v>
      </c>
      <c r="H81" s="216"/>
      <c r="I81" s="218">
        <v>100</v>
      </c>
      <c r="J81" s="216"/>
      <c r="K81" s="218">
        <v>81.37</v>
      </c>
      <c r="L81" s="216"/>
      <c r="M81" s="218">
        <v>200</v>
      </c>
      <c r="N81" s="216"/>
      <c r="O81" s="218">
        <v>200</v>
      </c>
      <c r="P81" s="216"/>
      <c r="Q81" s="218">
        <v>200</v>
      </c>
      <c r="R81" s="216"/>
      <c r="S81" s="218">
        <v>200</v>
      </c>
      <c r="T81" s="216"/>
      <c r="U81" s="218">
        <v>200</v>
      </c>
      <c r="V81" s="216"/>
      <c r="W81" s="218">
        <v>0</v>
      </c>
      <c r="X81" s="216"/>
      <c r="Y81" s="218">
        <v>500</v>
      </c>
      <c r="Z81" s="216"/>
      <c r="AA81" s="218">
        <v>500</v>
      </c>
      <c r="AB81" s="216"/>
      <c r="AC81" s="218">
        <v>0</v>
      </c>
      <c r="AD81" s="216"/>
      <c r="AE81" s="218">
        <f t="shared" si="4"/>
        <v>4272.41</v>
      </c>
    </row>
    <row r="82" spans="1:31">
      <c r="A82" s="214"/>
      <c r="B82" s="214"/>
      <c r="C82" s="214"/>
      <c r="D82" s="214"/>
      <c r="E82" s="214" t="s">
        <v>303</v>
      </c>
      <c r="F82" s="214"/>
      <c r="G82" s="215">
        <f>ROUND(SUM(G74:G81),5)</f>
        <v>12665.38</v>
      </c>
      <c r="H82" s="216"/>
      <c r="I82" s="215">
        <f>ROUND(SUM(I74:I81),5)</f>
        <v>34803.699999999997</v>
      </c>
      <c r="J82" s="216"/>
      <c r="K82" s="215">
        <f>ROUND(SUM(K74:K81),5)</f>
        <v>439.37</v>
      </c>
      <c r="L82" s="216"/>
      <c r="M82" s="215">
        <f>ROUND(SUM(M74:M81),5)</f>
        <v>1200</v>
      </c>
      <c r="N82" s="216"/>
      <c r="O82" s="215">
        <f>ROUND(SUM(O74:O81),5)</f>
        <v>3550</v>
      </c>
      <c r="P82" s="216"/>
      <c r="Q82" s="215">
        <f>ROUND(SUM(Q74:Q81),5)</f>
        <v>1350</v>
      </c>
      <c r="R82" s="216"/>
      <c r="S82" s="215">
        <f>ROUND(SUM(S74:S81),5)</f>
        <v>1900</v>
      </c>
      <c r="T82" s="216"/>
      <c r="U82" s="215">
        <f>ROUND(SUM(U74:U81),5)</f>
        <v>1350</v>
      </c>
      <c r="V82" s="216"/>
      <c r="W82" s="215">
        <f>ROUND(SUM(W74:W81),5)</f>
        <v>350</v>
      </c>
      <c r="X82" s="216"/>
      <c r="Y82" s="215">
        <f>ROUND(SUM(Y74:Y81),5)</f>
        <v>2500</v>
      </c>
      <c r="Z82" s="216"/>
      <c r="AA82" s="215">
        <f>ROUND(SUM(AA74:AA81),5)</f>
        <v>500</v>
      </c>
      <c r="AB82" s="216"/>
      <c r="AC82" s="215">
        <f>ROUND(SUM(AC74:AC81),5)</f>
        <v>0</v>
      </c>
      <c r="AD82" s="216"/>
      <c r="AE82" s="215">
        <f t="shared" si="4"/>
        <v>60608.45</v>
      </c>
    </row>
    <row r="83" spans="1:31">
      <c r="A83" s="214"/>
      <c r="B83" s="214"/>
      <c r="C83" s="214"/>
      <c r="D83" s="214"/>
      <c r="E83" s="214" t="s">
        <v>304</v>
      </c>
      <c r="F83" s="214"/>
      <c r="G83" s="215"/>
      <c r="H83" s="216"/>
      <c r="I83" s="215"/>
      <c r="J83" s="216"/>
      <c r="K83" s="215"/>
      <c r="L83" s="216"/>
      <c r="M83" s="215"/>
      <c r="N83" s="216"/>
      <c r="O83" s="215"/>
      <c r="P83" s="216"/>
      <c r="Q83" s="215"/>
      <c r="R83" s="216"/>
      <c r="S83" s="215"/>
      <c r="T83" s="216"/>
      <c r="U83" s="215"/>
      <c r="V83" s="216"/>
      <c r="W83" s="215"/>
      <c r="X83" s="216"/>
      <c r="Y83" s="215"/>
      <c r="Z83" s="216"/>
      <c r="AA83" s="215"/>
      <c r="AB83" s="216"/>
      <c r="AC83" s="215"/>
      <c r="AD83" s="216"/>
      <c r="AE83" s="215"/>
    </row>
    <row r="84" spans="1:31">
      <c r="A84" s="214"/>
      <c r="B84" s="214"/>
      <c r="C84" s="214"/>
      <c r="D84" s="214"/>
      <c r="E84" s="214"/>
      <c r="F84" s="214" t="s">
        <v>305</v>
      </c>
      <c r="G84" s="215">
        <v>113.68</v>
      </c>
      <c r="H84" s="216"/>
      <c r="I84" s="215">
        <v>82.19</v>
      </c>
      <c r="J84" s="216"/>
      <c r="K84" s="215">
        <v>13.23</v>
      </c>
      <c r="L84" s="216"/>
      <c r="M84" s="215">
        <v>13.23</v>
      </c>
      <c r="N84" s="216"/>
      <c r="O84" s="215">
        <v>13.23</v>
      </c>
      <c r="P84" s="216"/>
      <c r="Q84" s="215">
        <v>13.23</v>
      </c>
      <c r="R84" s="216"/>
      <c r="S84" s="215">
        <v>13.23</v>
      </c>
      <c r="T84" s="216"/>
      <c r="U84" s="215">
        <v>13.23</v>
      </c>
      <c r="V84" s="216"/>
      <c r="W84" s="215">
        <v>13.23</v>
      </c>
      <c r="X84" s="216"/>
      <c r="Y84" s="215">
        <v>13.23</v>
      </c>
      <c r="Z84" s="216"/>
      <c r="AA84" s="215">
        <v>13.23</v>
      </c>
      <c r="AB84" s="216"/>
      <c r="AC84" s="215">
        <v>13.23</v>
      </c>
      <c r="AD84" s="216"/>
      <c r="AE84" s="215">
        <f t="shared" ref="AE84:AE90" si="5">ROUND(SUM(G84:AC84),5)</f>
        <v>328.17</v>
      </c>
    </row>
    <row r="85" spans="1:31">
      <c r="A85" s="214"/>
      <c r="B85" s="214"/>
      <c r="C85" s="214"/>
      <c r="D85" s="214"/>
      <c r="E85" s="214"/>
      <c r="F85" s="214" t="s">
        <v>307</v>
      </c>
      <c r="G85" s="215">
        <v>489.43</v>
      </c>
      <c r="H85" s="216"/>
      <c r="I85" s="215">
        <v>263.37</v>
      </c>
      <c r="J85" s="216"/>
      <c r="K85" s="215">
        <v>2.4900000000000002</v>
      </c>
      <c r="L85" s="216"/>
      <c r="M85" s="215">
        <v>2.4900000000000002</v>
      </c>
      <c r="N85" s="216"/>
      <c r="O85" s="215">
        <v>2.4900000000000002</v>
      </c>
      <c r="P85" s="216"/>
      <c r="Q85" s="215">
        <v>2.4900000000000002</v>
      </c>
      <c r="R85" s="216"/>
      <c r="S85" s="215">
        <v>2.4900000000000002</v>
      </c>
      <c r="T85" s="216"/>
      <c r="U85" s="215">
        <v>2.4900000000000002</v>
      </c>
      <c r="V85" s="216"/>
      <c r="W85" s="215">
        <v>2.4900000000000002</v>
      </c>
      <c r="X85" s="216"/>
      <c r="Y85" s="215">
        <v>2.4900000000000002</v>
      </c>
      <c r="Z85" s="216"/>
      <c r="AA85" s="215">
        <v>2.4900000000000002</v>
      </c>
      <c r="AB85" s="216"/>
      <c r="AC85" s="215">
        <v>2.4900000000000002</v>
      </c>
      <c r="AD85" s="216"/>
      <c r="AE85" s="215">
        <f t="shared" si="5"/>
        <v>777.7</v>
      </c>
    </row>
    <row r="86" spans="1:31" ht="16.149999999999999" thickBot="1">
      <c r="A86" s="214"/>
      <c r="B86" s="214"/>
      <c r="C86" s="214"/>
      <c r="D86" s="214"/>
      <c r="E86" s="214"/>
      <c r="F86" s="214" t="s">
        <v>309</v>
      </c>
      <c r="G86" s="215">
        <v>257</v>
      </c>
      <c r="H86" s="216"/>
      <c r="I86" s="215">
        <v>0</v>
      </c>
      <c r="J86" s="216"/>
      <c r="K86" s="215">
        <v>0</v>
      </c>
      <c r="L86" s="216"/>
      <c r="M86" s="215">
        <v>0</v>
      </c>
      <c r="N86" s="216"/>
      <c r="O86" s="215">
        <v>0</v>
      </c>
      <c r="P86" s="216"/>
      <c r="Q86" s="215">
        <v>0</v>
      </c>
      <c r="R86" s="216"/>
      <c r="S86" s="215">
        <v>0</v>
      </c>
      <c r="T86" s="216"/>
      <c r="U86" s="215">
        <v>0</v>
      </c>
      <c r="V86" s="216"/>
      <c r="W86" s="215">
        <v>0</v>
      </c>
      <c r="X86" s="216"/>
      <c r="Y86" s="215">
        <v>0</v>
      </c>
      <c r="Z86" s="216"/>
      <c r="AA86" s="215">
        <v>0</v>
      </c>
      <c r="AB86" s="216"/>
      <c r="AC86" s="215">
        <v>0</v>
      </c>
      <c r="AD86" s="216"/>
      <c r="AE86" s="215">
        <f t="shared" si="5"/>
        <v>257</v>
      </c>
    </row>
    <row r="87" spans="1:31" ht="16.149999999999999" thickBot="1">
      <c r="A87" s="214"/>
      <c r="B87" s="214"/>
      <c r="C87" s="214"/>
      <c r="D87" s="214"/>
      <c r="E87" s="214" t="s">
        <v>310</v>
      </c>
      <c r="F87" s="214"/>
      <c r="G87" s="221">
        <f>ROUND(SUM(G83:G86),5)</f>
        <v>860.11</v>
      </c>
      <c r="H87" s="216"/>
      <c r="I87" s="221">
        <f>ROUND(SUM(I83:I86),5)</f>
        <v>345.56</v>
      </c>
      <c r="J87" s="216"/>
      <c r="K87" s="221">
        <f>ROUND(SUM(K83:K86),5)</f>
        <v>15.72</v>
      </c>
      <c r="L87" s="216"/>
      <c r="M87" s="221">
        <f>ROUND(SUM(M83:M86),5)</f>
        <v>15.72</v>
      </c>
      <c r="N87" s="216"/>
      <c r="O87" s="221">
        <f>ROUND(SUM(O83:O86),5)</f>
        <v>15.72</v>
      </c>
      <c r="P87" s="216"/>
      <c r="Q87" s="221">
        <f>ROUND(SUM(Q83:Q86),5)</f>
        <v>15.72</v>
      </c>
      <c r="R87" s="216"/>
      <c r="S87" s="221">
        <f>ROUND(SUM(S83:S86),5)</f>
        <v>15.72</v>
      </c>
      <c r="T87" s="216"/>
      <c r="U87" s="221">
        <f>ROUND(SUM(U83:U86),5)</f>
        <v>15.72</v>
      </c>
      <c r="V87" s="216"/>
      <c r="W87" s="221">
        <f>ROUND(SUM(W83:W86),5)</f>
        <v>15.72</v>
      </c>
      <c r="X87" s="216"/>
      <c r="Y87" s="221">
        <f>ROUND(SUM(Y83:Y86),5)</f>
        <v>15.72</v>
      </c>
      <c r="Z87" s="216"/>
      <c r="AA87" s="221">
        <f>ROUND(SUM(AA83:AA86),5)</f>
        <v>15.72</v>
      </c>
      <c r="AB87" s="216"/>
      <c r="AC87" s="221">
        <f>ROUND(SUM(AC83:AC86),5)</f>
        <v>15.72</v>
      </c>
      <c r="AD87" s="216"/>
      <c r="AE87" s="221">
        <f t="shared" si="5"/>
        <v>1362.87</v>
      </c>
    </row>
    <row r="88" spans="1:31" ht="16.149999999999999" thickBot="1">
      <c r="A88" s="214"/>
      <c r="B88" s="214"/>
      <c r="C88" s="214"/>
      <c r="D88" s="214" t="s">
        <v>312</v>
      </c>
      <c r="E88" s="214"/>
      <c r="F88" s="214"/>
      <c r="G88" s="221">
        <f>ROUND(G22+G36+G44+G73+G82+G87,5)</f>
        <v>256569.03</v>
      </c>
      <c r="H88" s="216"/>
      <c r="I88" s="221">
        <f>ROUND(I22+I36+I44+I73+I82+I87,5)</f>
        <v>252023.59</v>
      </c>
      <c r="J88" s="216"/>
      <c r="K88" s="221">
        <f>ROUND(K22+K36+K44+K73+K82+K87,5)</f>
        <v>230776.89</v>
      </c>
      <c r="L88" s="216"/>
      <c r="M88" s="221">
        <f>ROUND(M22+M36+M44+M73+M82+M87,5)</f>
        <v>215529.288</v>
      </c>
      <c r="N88" s="216"/>
      <c r="O88" s="221">
        <f>ROUND(O22+O36+O44+O73+O82+O87,5)</f>
        <v>305381.3455</v>
      </c>
      <c r="P88" s="216"/>
      <c r="Q88" s="221">
        <f>ROUND(Q22+Q36+Q44+Q73+Q82+Q87,5)</f>
        <v>273413.96549999999</v>
      </c>
      <c r="R88" s="216"/>
      <c r="S88" s="221">
        <f>ROUND(S22+S36+S44+S73+S82+S87,5)</f>
        <v>216671.6629</v>
      </c>
      <c r="T88" s="216"/>
      <c r="U88" s="221">
        <f>ROUND(U22+U36+U44+U73+U82+U87,5)</f>
        <v>223007.7555</v>
      </c>
      <c r="V88" s="216"/>
      <c r="W88" s="221">
        <f>ROUND(W22+W36+W44+W73+W82+W87,5)</f>
        <v>238403.96549999999</v>
      </c>
      <c r="X88" s="216"/>
      <c r="Y88" s="221">
        <f>ROUND(Y22+Y36+Y44+Y73+Y82+Y87,5)</f>
        <v>217157.7555</v>
      </c>
      <c r="Z88" s="216"/>
      <c r="AA88" s="221">
        <f>ROUND(AA22+AA36+AA44+AA73+AA82+AA87,5)</f>
        <v>215122.21549999999</v>
      </c>
      <c r="AB88" s="216"/>
      <c r="AC88" s="221">
        <f>ROUND(AC22+AC36+AC44+AC73+AC82+AC87,5)</f>
        <v>210733.96549999999</v>
      </c>
      <c r="AD88" s="216"/>
      <c r="AE88" s="221">
        <f t="shared" si="5"/>
        <v>2854791.4293999998</v>
      </c>
    </row>
    <row r="89" spans="1:31" ht="16.149999999999999" thickBot="1">
      <c r="A89" s="214"/>
      <c r="B89" s="214" t="s">
        <v>313</v>
      </c>
      <c r="C89" s="214"/>
      <c r="D89" s="214"/>
      <c r="E89" s="214"/>
      <c r="F89" s="214"/>
      <c r="G89" s="221">
        <f>ROUND(G2+G21-G88,5)</f>
        <v>-34672.160000000003</v>
      </c>
      <c r="H89" s="216"/>
      <c r="I89" s="221">
        <f>ROUND(I2+I21-I88,5)</f>
        <v>-24357.82</v>
      </c>
      <c r="J89" s="216"/>
      <c r="K89" s="221">
        <f>ROUND(K2+K21-K88,5)</f>
        <v>55500.08</v>
      </c>
      <c r="L89" s="216"/>
      <c r="M89" s="221">
        <f>ROUND(M2+M21-M88,5)</f>
        <v>10573.781999999999</v>
      </c>
      <c r="N89" s="216"/>
      <c r="O89" s="221">
        <f>ROUND(O2+O21-O88,5)</f>
        <v>-68514.025500000003</v>
      </c>
      <c r="P89" s="216"/>
      <c r="Q89" s="221">
        <f>ROUND(Q2+Q21-Q88,5)</f>
        <v>-37546.645499999999</v>
      </c>
      <c r="R89" s="216"/>
      <c r="S89" s="221">
        <f>ROUND(S2+S21-S88,5)</f>
        <v>25177.237099999998</v>
      </c>
      <c r="T89" s="216"/>
      <c r="U89" s="221">
        <f>ROUND(U2+U21-U88,5)</f>
        <v>12859.5645</v>
      </c>
      <c r="V89" s="216"/>
      <c r="W89" s="221">
        <f>ROUND(W2+W21-W88,5)</f>
        <v>-2536.6455000000001</v>
      </c>
      <c r="X89" s="216"/>
      <c r="Y89" s="221">
        <f>ROUND(Y2+Y21-Y88,5)</f>
        <v>20709.5645</v>
      </c>
      <c r="Z89" s="216"/>
      <c r="AA89" s="221">
        <f>ROUND(AA2+AA21-AA88,5)</f>
        <v>20745.104500000001</v>
      </c>
      <c r="AB89" s="216"/>
      <c r="AC89" s="221">
        <f>ROUND(AC2+AC21-AC88,5)</f>
        <v>25133.354500000001</v>
      </c>
      <c r="AD89" s="216"/>
      <c r="AE89" s="221">
        <f t="shared" si="5"/>
        <v>3071.3906000000002</v>
      </c>
    </row>
    <row r="90" spans="1:31" s="223" customFormat="1" ht="16.149999999999999" thickBot="1">
      <c r="A90" s="214" t="s">
        <v>314</v>
      </c>
      <c r="B90" s="214"/>
      <c r="C90" s="214"/>
      <c r="D90" s="214"/>
      <c r="E90" s="214"/>
      <c r="F90" s="214"/>
      <c r="G90" s="222">
        <f>G89</f>
        <v>-34672.160000000003</v>
      </c>
      <c r="H90" s="214"/>
      <c r="I90" s="222">
        <f>I89</f>
        <v>-24357.82</v>
      </c>
      <c r="J90" s="214"/>
      <c r="K90" s="222">
        <f>K89</f>
        <v>55500.08</v>
      </c>
      <c r="L90" s="214"/>
      <c r="M90" s="222">
        <f>M89</f>
        <v>10573.781999999999</v>
      </c>
      <c r="N90" s="214"/>
      <c r="O90" s="222">
        <f>O89</f>
        <v>-68514.025500000003</v>
      </c>
      <c r="P90" s="214"/>
      <c r="Q90" s="222">
        <f>Q89</f>
        <v>-37546.645499999999</v>
      </c>
      <c r="R90" s="214"/>
      <c r="S90" s="222">
        <f>S89</f>
        <v>25177.237099999998</v>
      </c>
      <c r="T90" s="214"/>
      <c r="U90" s="222">
        <f>U89</f>
        <v>12859.5645</v>
      </c>
      <c r="V90" s="214"/>
      <c r="W90" s="222">
        <f>W89</f>
        <v>-2536.6455000000001</v>
      </c>
      <c r="X90" s="214"/>
      <c r="Y90" s="222">
        <f>Y89</f>
        <v>20709.5645</v>
      </c>
      <c r="Z90" s="214"/>
      <c r="AA90" s="222">
        <f>AA89</f>
        <v>20745.104500000001</v>
      </c>
      <c r="AB90" s="214"/>
      <c r="AC90" s="222">
        <f>AC89</f>
        <v>25133.354500000001</v>
      </c>
      <c r="AD90" s="214"/>
      <c r="AE90" s="222">
        <f t="shared" si="5"/>
        <v>3071.3906000000002</v>
      </c>
    </row>
    <row r="91" spans="1:31" ht="16.149999999999999" thickTop="1"/>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82f5410-9528-4dbf-953e-06b19604bfcc" xsi:nil="true"/>
    <lcf76f155ced4ddcb4097134ff3c332f xmlns="22fc92a4-2d4b-4a6c-8d09-3c6205f3fc06">
      <Terms xmlns="http://schemas.microsoft.com/office/infopath/2007/PartnerControls"/>
    </lcf76f155ced4ddcb4097134ff3c332f>
    <_dlc_DocId xmlns="682f5410-9528-4dbf-953e-06b19604bfcc">4ACVR65RP5MX-1696420833-565259</_dlc_DocId>
    <_dlc_DocIdUrl xmlns="682f5410-9528-4dbf-953e-06b19604bfcc">
      <Url>https://charterschoolspecialists.sharepoint.com/sites/CompanyShared/_layouts/15/DocIdRedir.aspx?ID=4ACVR65RP5MX-1696420833-565259</Url>
      <Description>4ACVR65RP5MX-1696420833-565259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F21DE3D2848B648928D8957C2E638B7" ma:contentTypeVersion="19" ma:contentTypeDescription="Create a new document." ma:contentTypeScope="" ma:versionID="9631be2c94a2cdd162654ed09ffd31be">
  <xsd:schema xmlns:xsd="http://www.w3.org/2001/XMLSchema" xmlns:xs="http://www.w3.org/2001/XMLSchema" xmlns:p="http://schemas.microsoft.com/office/2006/metadata/properties" xmlns:ns2="682f5410-9528-4dbf-953e-06b19604bfcc" xmlns:ns3="22fc92a4-2d4b-4a6c-8d09-3c6205f3fc06" targetNamespace="http://schemas.microsoft.com/office/2006/metadata/properties" ma:root="true" ma:fieldsID="2b1af49590342cc56d3e61452ec13cf3" ns2:_="" ns3:_="">
    <xsd:import namespace="682f5410-9528-4dbf-953e-06b19604bfcc"/>
    <xsd:import namespace="22fc92a4-2d4b-4a6c-8d09-3c6205f3fc0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2f5410-9528-4dbf-953e-06b19604bfc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888afee-3ed9-4001-a5c3-ce7939f61fca}" ma:internalName="TaxCatchAll" ma:showField="CatchAllData" ma:web="682f5410-9528-4dbf-953e-06b19604bfcc">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fc92a4-2d4b-4a6c-8d09-3c6205f3fc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847e17-e9f7-49bd-b85f-20f79e8f48f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4F27B6-12DB-44DB-89C1-B3B759678174}"/>
</file>

<file path=customXml/itemProps2.xml><?xml version="1.0" encoding="utf-8"?>
<ds:datastoreItem xmlns:ds="http://schemas.openxmlformats.org/officeDocument/2006/customXml" ds:itemID="{49D6BE5C-F160-4E0E-93D9-44AEE166B6D9}"/>
</file>

<file path=customXml/itemProps3.xml><?xml version="1.0" encoding="utf-8"?>
<ds:datastoreItem xmlns:ds="http://schemas.openxmlformats.org/officeDocument/2006/customXml" ds:itemID="{31320133-D5F1-4682-B109-B1655604EA2A}"/>
</file>

<file path=customXml/itemProps4.xml><?xml version="1.0" encoding="utf-8"?>
<ds:datastoreItem xmlns:ds="http://schemas.openxmlformats.org/officeDocument/2006/customXml" ds:itemID="{1EFA1AB6-F911-4779-BB8A-C118F33317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Azender</dc:creator>
  <cp:keywords/>
  <dc:description/>
  <cp:lastModifiedBy>Michael Barnhart</cp:lastModifiedBy>
  <cp:revision/>
  <dcterms:created xsi:type="dcterms:W3CDTF">2021-05-24T16:05:15Z</dcterms:created>
  <dcterms:modified xsi:type="dcterms:W3CDTF">2024-11-15T20:15:45Z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0x010100BF21DE3D2848B648928D8957C2E638B7</vt:lpwstr>
  </property>
  <property fmtid="{D5CDD505-2E9C-101B-9397-08002B2CF9AE}" pid="3" name="_dlc_DocIdItemGuid">
    <vt:lpwstr>91300545-2fb2-43b9-8a18-dfef709693fd</vt:lpwstr>
  </property>
  <property fmtid="{D5CDD505-2E9C-101B-9397-08002B2CF9AE}" pid="4" name="MediaServiceImageTags">
    <vt:lpwstr/>
  </property>
</Properties>
</file>